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440" windowHeight="12660" tabRatio="328"/>
  </bookViews>
  <sheets>
    <sheet name="библиотеки" sheetId="5" r:id="rId1"/>
  </sheets>
  <definedNames>
    <definedName name="_GoBack" localSheetId="0">библиотеки!$D$3</definedName>
  </definedNames>
  <calcPr calcId="145621"/>
</workbook>
</file>

<file path=xl/calcChain.xml><?xml version="1.0" encoding="utf-8"?>
<calcChain xmlns="http://schemas.openxmlformats.org/spreadsheetml/2006/main">
  <c r="Q6" i="5" l="1"/>
  <c r="O38" i="5" l="1"/>
  <c r="N35" i="5"/>
  <c r="O35" i="5"/>
  <c r="P35" i="5"/>
  <c r="Q35" i="5"/>
  <c r="M35" i="5"/>
  <c r="N31" i="5"/>
  <c r="O31" i="5"/>
  <c r="P31" i="5"/>
  <c r="Q31" i="5"/>
  <c r="M31" i="5"/>
  <c r="N29" i="5"/>
  <c r="O29" i="5"/>
  <c r="P29" i="5"/>
  <c r="Q29" i="5"/>
  <c r="M29" i="5"/>
  <c r="N24" i="5"/>
  <c r="M24" i="5"/>
  <c r="N20" i="5"/>
  <c r="O20" i="5"/>
  <c r="M20" i="5"/>
  <c r="N18" i="5"/>
  <c r="O18" i="5"/>
  <c r="P18" i="5"/>
  <c r="Q18" i="5"/>
  <c r="M18" i="5"/>
  <c r="N16" i="5"/>
  <c r="O16" i="5"/>
  <c r="P16" i="5"/>
  <c r="Q16" i="5"/>
  <c r="M16" i="5"/>
  <c r="N12" i="5"/>
  <c r="O12" i="5"/>
  <c r="M12" i="5"/>
  <c r="N9" i="5"/>
  <c r="M9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C35" i="5"/>
  <c r="C31" i="5"/>
  <c r="C29" i="5"/>
  <c r="C24" i="5"/>
  <c r="C20" i="5"/>
  <c r="C18" i="5"/>
  <c r="C16" i="5"/>
  <c r="C12" i="5"/>
  <c r="C9" i="5"/>
  <c r="C5" i="5"/>
  <c r="O8" i="5"/>
  <c r="O10" i="5"/>
  <c r="O11" i="5"/>
  <c r="O13" i="5"/>
  <c r="O14" i="5"/>
  <c r="O15" i="5"/>
  <c r="O17" i="5"/>
  <c r="O19" i="5"/>
  <c r="O21" i="5"/>
  <c r="O22" i="5"/>
  <c r="O23" i="5"/>
  <c r="O25" i="5"/>
  <c r="O26" i="5"/>
  <c r="O27" i="5"/>
  <c r="O28" i="5"/>
  <c r="O30" i="5"/>
  <c r="O32" i="5"/>
  <c r="O33" i="5"/>
  <c r="O34" i="5"/>
  <c r="O36" i="5"/>
  <c r="O7" i="5"/>
  <c r="O6" i="5"/>
  <c r="N5" i="5"/>
  <c r="M5" i="5"/>
  <c r="N36" i="5"/>
  <c r="N34" i="5"/>
  <c r="N33" i="5"/>
  <c r="N32" i="5"/>
  <c r="N30" i="5"/>
  <c r="N28" i="5"/>
  <c r="N27" i="5"/>
  <c r="N26" i="5"/>
  <c r="N25" i="5"/>
  <c r="N23" i="5"/>
  <c r="N22" i="5"/>
  <c r="N21" i="5"/>
  <c r="N19" i="5"/>
  <c r="N17" i="5"/>
  <c r="N15" i="5"/>
  <c r="N14" i="5"/>
  <c r="N13" i="5"/>
  <c r="N11" i="5"/>
  <c r="N10" i="5"/>
  <c r="N8" i="5"/>
  <c r="N7" i="5"/>
  <c r="N6" i="5"/>
  <c r="M36" i="5"/>
  <c r="M34" i="5"/>
  <c r="M33" i="5"/>
  <c r="M32" i="5"/>
  <c r="M30" i="5"/>
  <c r="M28" i="5"/>
  <c r="M27" i="5"/>
  <c r="M26" i="5"/>
  <c r="M25" i="5"/>
  <c r="M23" i="5"/>
  <c r="M22" i="5"/>
  <c r="M21" i="5"/>
  <c r="M19" i="5"/>
  <c r="M17" i="5"/>
  <c r="M15" i="5"/>
  <c r="M14" i="5"/>
  <c r="M13" i="5"/>
  <c r="M11" i="5"/>
  <c r="M10" i="5"/>
  <c r="M8" i="5"/>
  <c r="M7" i="5"/>
  <c r="M6" i="5"/>
  <c r="O24" i="5" l="1"/>
  <c r="O9" i="5"/>
  <c r="O5" i="5"/>
  <c r="F14" i="5" l="1"/>
  <c r="F11" i="5"/>
  <c r="F8" i="5"/>
  <c r="E36" i="5"/>
  <c r="E14" i="5"/>
  <c r="F25" i="5"/>
  <c r="F19" i="5"/>
  <c r="E28" i="5"/>
  <c r="F28" i="5"/>
  <c r="E33" i="5"/>
  <c r="F33" i="5"/>
  <c r="F34" i="5"/>
  <c r="E34" i="5"/>
  <c r="F36" i="5"/>
  <c r="K34" i="5"/>
  <c r="K33" i="5"/>
  <c r="K21" i="5"/>
  <c r="J15" i="5"/>
  <c r="G34" i="5"/>
  <c r="G33" i="5"/>
  <c r="G32" i="5"/>
  <c r="G30" i="5"/>
  <c r="G28" i="5"/>
  <c r="F27" i="5"/>
  <c r="G26" i="5"/>
  <c r="G23" i="5"/>
  <c r="G21" i="5"/>
  <c r="E19" i="5"/>
  <c r="G19" i="5"/>
  <c r="E17" i="5"/>
  <c r="F17" i="5"/>
  <c r="F15" i="5"/>
  <c r="G15" i="5"/>
  <c r="G14" i="5"/>
  <c r="G8" i="5"/>
  <c r="G10" i="5"/>
  <c r="G11" i="5"/>
  <c r="G6" i="5" l="1"/>
  <c r="C37" i="5"/>
  <c r="E10" i="5"/>
  <c r="F10" i="5"/>
  <c r="F6" i="5"/>
  <c r="K36" i="5"/>
  <c r="J36" i="5"/>
  <c r="G36" i="5"/>
  <c r="K30" i="5"/>
  <c r="J30" i="5"/>
  <c r="F30" i="5"/>
  <c r="E30" i="5"/>
  <c r="K8" i="5"/>
  <c r="J8" i="5"/>
  <c r="E8" i="5"/>
  <c r="K19" i="5"/>
  <c r="J19" i="5"/>
  <c r="K23" i="5"/>
  <c r="J23" i="5"/>
  <c r="F23" i="5"/>
  <c r="E23" i="5"/>
  <c r="J33" i="5"/>
  <c r="K26" i="5"/>
  <c r="J26" i="5"/>
  <c r="F26" i="5"/>
  <c r="E26" i="5"/>
  <c r="K6" i="5"/>
  <c r="J6" i="5"/>
  <c r="E6" i="5"/>
  <c r="K7" i="5"/>
  <c r="J7" i="5"/>
  <c r="G7" i="5"/>
  <c r="F7" i="5"/>
  <c r="E7" i="5"/>
  <c r="K17" i="5"/>
  <c r="J17" i="5"/>
  <c r="G17" i="5"/>
  <c r="K25" i="5"/>
  <c r="J25" i="5"/>
  <c r="G25" i="5"/>
  <c r="E25" i="5"/>
  <c r="K28" i="5"/>
  <c r="J28" i="5"/>
  <c r="J21" i="5"/>
  <c r="F21" i="5"/>
  <c r="E21" i="5"/>
  <c r="J34" i="5"/>
  <c r="K10" i="5"/>
  <c r="J10" i="5"/>
  <c r="K14" i="5"/>
  <c r="J14" i="5"/>
  <c r="K11" i="5"/>
  <c r="J11" i="5"/>
  <c r="E11" i="5"/>
  <c r="K15" i="5"/>
  <c r="E15" i="5"/>
  <c r="K32" i="5"/>
  <c r="J32" i="5"/>
  <c r="F32" i="5"/>
  <c r="E32" i="5"/>
  <c r="K13" i="5"/>
  <c r="J13" i="5"/>
  <c r="G13" i="5"/>
  <c r="F13" i="5"/>
  <c r="E13" i="5"/>
  <c r="K22" i="5"/>
  <c r="J22" i="5"/>
  <c r="G22" i="5"/>
  <c r="F22" i="5"/>
  <c r="E22" i="5"/>
  <c r="K27" i="5"/>
  <c r="J27" i="5"/>
  <c r="G27" i="5"/>
  <c r="E27" i="5"/>
  <c r="Q36" i="5" l="1"/>
  <c r="Q30" i="5"/>
  <c r="Q8" i="5"/>
  <c r="Q19" i="5"/>
  <c r="Q23" i="5"/>
  <c r="Q33" i="5"/>
  <c r="Q26" i="5"/>
  <c r="Q7" i="5"/>
  <c r="Q17" i="5"/>
  <c r="Q25" i="5"/>
  <c r="Q28" i="5"/>
  <c r="Q21" i="5"/>
  <c r="Q34" i="5"/>
  <c r="Q10" i="5"/>
  <c r="Q14" i="5"/>
  <c r="Q11" i="5"/>
  <c r="Q15" i="5"/>
  <c r="Q32" i="5"/>
  <c r="Q13" i="5"/>
  <c r="Q22" i="5"/>
  <c r="Q27" i="5"/>
</calcChain>
</file>

<file path=xl/sharedStrings.xml><?xml version="1.0" encoding="utf-8"?>
<sst xmlns="http://schemas.openxmlformats.org/spreadsheetml/2006/main" count="79" uniqueCount="77">
  <si>
    <t>итого</t>
  </si>
  <si>
    <t>городское поселение Междуреченский</t>
  </si>
  <si>
    <t>городское поселение Кондинское</t>
  </si>
  <si>
    <t>городское поселение Мортка</t>
  </si>
  <si>
    <t>городское поселение Куминский</t>
  </si>
  <si>
    <t>городское поселение Луговой</t>
  </si>
  <si>
    <t>сельское поселение Леуши</t>
  </si>
  <si>
    <t>сельское поселение Мулымья</t>
  </si>
  <si>
    <t>сельское поселение Половинка</t>
  </si>
  <si>
    <t>сельское поселение Болчары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</si>
  <si>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</si>
  <si>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</si>
  <si>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</si>
  <si>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</si>
  <si>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</si>
  <si>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</si>
  <si>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</si>
  <si>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</si>
  <si>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</si>
  <si>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</si>
  <si>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</si>
  <si>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</si>
  <si>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</si>
  <si>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</si>
  <si>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</si>
  <si>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</si>
  <si>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</si>
  <si>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</si>
  <si>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</si>
  <si>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 xml:space="preserve">итого 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</si>
  <si>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</si>
  <si>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</si>
  <si>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</si>
  <si>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</si>
  <si>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</si>
  <si>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</si>
  <si>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</si>
  <si>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</si>
  <si>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</si>
  <si>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</si>
  <si>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</si>
  <si>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</si>
  <si>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</si>
  <si>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2.1.</t>
  </si>
  <si>
    <t>2.2.</t>
  </si>
  <si>
    <t>1.1.</t>
  </si>
  <si>
    <t>1.2.</t>
  </si>
  <si>
    <t>1.3.</t>
  </si>
  <si>
    <t>Детская библиотека-филиал №4</t>
  </si>
  <si>
    <t>Библиотека-филиал №18</t>
  </si>
  <si>
    <t>Библиотека-филиал №20</t>
  </si>
  <si>
    <t>Детская библиотека-филиал №21</t>
  </si>
  <si>
    <t>Морткинская библиотека-филиал № 6</t>
  </si>
  <si>
    <t>Юмасинская библиотека-филиал № 14</t>
  </si>
  <si>
    <t>Ямкинская библиотека-филиал № 16</t>
  </si>
  <si>
    <t>Куминская библиотека-филиал № 1</t>
  </si>
  <si>
    <t>Луговская библиотека-филиал № 5</t>
  </si>
  <si>
    <t>Леушинская библиотека-филиал № 2 им. Н.В. Лангенбах</t>
  </si>
  <si>
    <t>Лиственничная библиотека-филиал № 11</t>
  </si>
  <si>
    <t>Ягодинская библиотека-филиал № 15 им. А.М. Коньковой</t>
  </si>
  <si>
    <t>Мулымская модельная библиотека-филиал № 10</t>
  </si>
  <si>
    <t>Ушьинская библиотека-филиал № 19</t>
  </si>
  <si>
    <t>Назаровская библиотека-филиал № 17</t>
  </si>
  <si>
    <t>Чантырская библиотека-филиал № 12</t>
  </si>
  <si>
    <t>Половинкинская библиотека-филиал № 7</t>
  </si>
  <si>
    <t>Болчаровская библиотека-филиал № 9</t>
  </si>
  <si>
    <t>Алтайская библиотека-филиал № 8</t>
  </si>
  <si>
    <t>Камская библиотека-филиал № 22</t>
  </si>
  <si>
    <t>Шугурская библиотека-филиал № 13</t>
  </si>
  <si>
    <t>Цетральная библиотека</t>
  </si>
  <si>
    <t>4.1.</t>
  </si>
  <si>
    <t>5.1.</t>
  </si>
  <si>
    <t>8.1.</t>
  </si>
  <si>
    <t>10.1.</t>
  </si>
  <si>
    <t>средний бал</t>
  </si>
  <si>
    <t xml:space="preserve">процент </t>
  </si>
  <si>
    <t>Мониторинг удовлетворенности населения качеством оказания услуг в библиотеках МУК Кондинская МЦБС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</si>
</sst>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top"/>
    </xf>
    <xf numFmtId="0" fontId="0" fillId="0" borderId="4" xfId="0" applyBorder="1"/>
    <xf numFmtId="0" fontId="2" fillId="0" borderId="4" xfId="0" applyFont="1" applyBorder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textRotation="90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1" fontId="2" fillId="0" borderId="1" xfId="0" applyNumberFormat="1" applyFont="1" applyBorder="1"/>
    <xf numFmtId="1" fontId="0" fillId="0" borderId="1" xfId="0" applyNumberFormat="1" applyBorder="1"/>
    <xf numFmtId="0" fontId="6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/>
    <xf numFmtId="0" fontId="0" fillId="2" borderId="4" xfId="0" applyFill="1" applyBorder="1"/>
    <xf numFmtId="0" fontId="5" fillId="2" borderId="1" xfId="0" applyFont="1" applyFill="1" applyBorder="1" applyAlignment="1">
      <alignment vertical="top"/>
    </xf>
    <xf numFmtId="1" fontId="0" fillId="2" borderId="1" xfId="0" applyNumberFormat="1" applyFill="1" applyBorder="1"/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0" fillId="0" borderId="4" xfId="0" applyFill="1" applyBorder="1"/>
    <xf numFmtId="0" fontId="2" fillId="0" borderId="1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2" fillId="2" borderId="1" xfId="0" applyNumberFormat="1" applyFont="1" applyFill="1" applyBorder="1"/>
    <xf numFmtId="164" fontId="0" fillId="0" borderId="0" xfId="0" applyNumberFormat="1"/>
    <xf numFmtId="0" fontId="8" fillId="0" borderId="1" xfId="0" applyFont="1" applyFill="1" applyBorder="1" applyAlignment="1">
      <alignment vertical="top"/>
    </xf>
    <xf numFmtId="1" fontId="0" fillId="0" borderId="0" xfId="0" applyNumberFormat="1"/>
    <xf numFmtId="10" fontId="0" fillId="0" borderId="0" xfId="0" applyNumberFormat="1"/>
    <xf numFmtId="0" fontId="1" fillId="3" borderId="1" xfId="0" applyFont="1" applyFill="1" applyBorder="1" applyAlignment="1">
      <alignment textRotation="90" wrapText="1"/>
    </xf>
    <xf numFmtId="1" fontId="0" fillId="3" borderId="1" xfId="0" applyNumberFormat="1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1" fontId="9" fillId="3" borderId="1" xfId="0" applyNumberFormat="1" applyFont="1" applyFill="1" applyBorder="1"/>
    <xf numFmtId="1" fontId="9" fillId="0" borderId="1" xfId="0" applyNumberFormat="1" applyFont="1" applyBorder="1"/>
    <xf numFmtId="0" fontId="9" fillId="0" borderId="4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/>
    <xf numFmtId="1" fontId="10" fillId="3" borderId="1" xfId="0" applyNumberFormat="1" applyFont="1" applyFill="1" applyBorder="1"/>
    <xf numFmtId="0" fontId="9" fillId="0" borderId="4" xfId="0" applyFont="1" applyFill="1" applyBorder="1"/>
    <xf numFmtId="0" fontId="9" fillId="0" borderId="1" xfId="0" applyFont="1" applyFill="1" applyBorder="1"/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K63"/>
  <sheetViews>
    <sheetView tabSelected="1" zoomScale="90" zoomScaleNormal="90" workbookViewId="0">
      <selection activeCell="A2" sqref="A2:Q2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6.5703125" customWidth="1"/>
    <col min="4" max="4" width="13.140625" customWidth="1"/>
    <col min="5" max="5" width="8.140625" customWidth="1"/>
    <col min="6" max="6" width="6.7109375" customWidth="1"/>
    <col min="7" max="7" width="7.5703125" customWidth="1"/>
    <col min="8" max="8" width="4.7109375" customWidth="1"/>
    <col min="9" max="9" width="11.7109375" customWidth="1"/>
    <col min="10" max="10" width="8.140625" customWidth="1"/>
    <col min="11" max="11" width="6.5703125" customWidth="1"/>
    <col min="12" max="12" width="7.28515625" customWidth="1"/>
    <col min="13" max="13" width="8.5703125" customWidth="1"/>
    <col min="14" max="14" width="15.42578125" customWidth="1"/>
    <col min="15" max="15" width="9.85546875" customWidth="1"/>
    <col min="16" max="16" width="7.85546875" customWidth="1"/>
    <col min="17" max="17" width="7.42578125" customWidth="1"/>
  </cols>
  <sheetData>
    <row r="2" spans="1:18" ht="27.75" customHeight="1" thickBot="1" x14ac:dyDescent="0.3">
      <c r="A2" s="68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ht="89.25" customHeight="1" x14ac:dyDescent="0.25">
      <c r="A3" s="56" t="s">
        <v>12</v>
      </c>
      <c r="B3" s="58" t="s">
        <v>13</v>
      </c>
      <c r="C3" s="60" t="s">
        <v>11</v>
      </c>
      <c r="D3" s="10" t="s">
        <v>26</v>
      </c>
      <c r="E3" s="62" t="s">
        <v>25</v>
      </c>
      <c r="F3" s="63"/>
      <c r="G3" s="63"/>
      <c r="H3" s="64"/>
      <c r="I3" s="11" t="s">
        <v>24</v>
      </c>
      <c r="J3" s="62" t="s">
        <v>23</v>
      </c>
      <c r="K3" s="63"/>
      <c r="L3" s="64"/>
      <c r="M3" s="65" t="s">
        <v>22</v>
      </c>
      <c r="N3" s="66"/>
      <c r="O3" s="66"/>
      <c r="P3" s="67"/>
      <c r="Q3" s="61" t="s">
        <v>29</v>
      </c>
    </row>
    <row r="4" spans="1:18" ht="147" customHeight="1" x14ac:dyDescent="0.25">
      <c r="A4" s="57"/>
      <c r="B4" s="59"/>
      <c r="C4" s="60"/>
      <c r="D4" s="7" t="s">
        <v>14</v>
      </c>
      <c r="E4" s="8" t="s">
        <v>16</v>
      </c>
      <c r="F4" s="8" t="s">
        <v>17</v>
      </c>
      <c r="G4" s="8" t="s">
        <v>18</v>
      </c>
      <c r="H4" s="8" t="s">
        <v>15</v>
      </c>
      <c r="I4" s="7" t="s">
        <v>19</v>
      </c>
      <c r="J4" s="8" t="s">
        <v>20</v>
      </c>
      <c r="K4" s="8" t="s">
        <v>21</v>
      </c>
      <c r="L4" s="8" t="s">
        <v>15</v>
      </c>
      <c r="M4" s="42" t="s">
        <v>27</v>
      </c>
      <c r="N4" s="42" t="s">
        <v>28</v>
      </c>
      <c r="O4" s="42" t="s">
        <v>15</v>
      </c>
      <c r="P4" s="42" t="s">
        <v>74</v>
      </c>
      <c r="Q4" s="61"/>
    </row>
    <row r="5" spans="1:18" ht="18.75" x14ac:dyDescent="0.25">
      <c r="A5" s="18">
        <v>1</v>
      </c>
      <c r="B5" s="19" t="s">
        <v>1</v>
      </c>
      <c r="C5" s="2">
        <f>C6+C7+C8</f>
        <v>38</v>
      </c>
      <c r="D5" s="21"/>
      <c r="E5" s="21"/>
      <c r="F5" s="21"/>
      <c r="G5" s="21"/>
      <c r="H5" s="21"/>
      <c r="I5" s="21"/>
      <c r="J5" s="21"/>
      <c r="K5" s="21"/>
      <c r="L5" s="21"/>
      <c r="M5" s="47">
        <f>M6+M7+M8</f>
        <v>370</v>
      </c>
      <c r="N5" s="47">
        <f t="shared" ref="N5:O5" si="0">N6+N7+N8</f>
        <v>358</v>
      </c>
      <c r="O5" s="47">
        <f t="shared" si="0"/>
        <v>728</v>
      </c>
      <c r="P5" s="47"/>
      <c r="Q5" s="48"/>
    </row>
    <row r="6" spans="1:18" ht="15.75" x14ac:dyDescent="0.25">
      <c r="A6" s="14" t="s">
        <v>45</v>
      </c>
      <c r="B6" s="13" t="s">
        <v>69</v>
      </c>
      <c r="C6" s="2">
        <v>15</v>
      </c>
      <c r="D6" s="21">
        <v>10</v>
      </c>
      <c r="E6" s="21">
        <f>129/15</f>
        <v>8.6</v>
      </c>
      <c r="F6" s="21">
        <f>148/15</f>
        <v>9.8666666666666671</v>
      </c>
      <c r="G6" s="21">
        <f>70/15</f>
        <v>4.666666666666667</v>
      </c>
      <c r="H6" s="21">
        <v>24</v>
      </c>
      <c r="I6" s="21">
        <v>10</v>
      </c>
      <c r="J6" s="21">
        <f>148/15</f>
        <v>9.8666666666666671</v>
      </c>
      <c r="K6" s="21">
        <f>148/15</f>
        <v>9.8666666666666671</v>
      </c>
      <c r="L6" s="21">
        <v>20</v>
      </c>
      <c r="M6" s="43">
        <f>146</f>
        <v>146</v>
      </c>
      <c r="N6" s="43">
        <f>144</f>
        <v>144</v>
      </c>
      <c r="O6" s="43">
        <f>N6+M6</f>
        <v>290</v>
      </c>
      <c r="P6" s="43"/>
      <c r="Q6" s="21">
        <f>(O6+L6+I6+H6+D6)</f>
        <v>354</v>
      </c>
      <c r="R6" s="40"/>
    </row>
    <row r="7" spans="1:18" ht="15.75" x14ac:dyDescent="0.25">
      <c r="A7" s="14" t="s">
        <v>46</v>
      </c>
      <c r="B7" s="13" t="s">
        <v>48</v>
      </c>
      <c r="C7" s="2">
        <v>8</v>
      </c>
      <c r="D7" s="21">
        <v>10</v>
      </c>
      <c r="E7" s="21">
        <f>76/8</f>
        <v>9.5</v>
      </c>
      <c r="F7" s="21">
        <f>76/8</f>
        <v>9.5</v>
      </c>
      <c r="G7" s="21">
        <f>40/8</f>
        <v>5</v>
      </c>
      <c r="H7" s="21">
        <v>25</v>
      </c>
      <c r="I7" s="21">
        <v>10</v>
      </c>
      <c r="J7" s="21">
        <f>78/8</f>
        <v>9.75</v>
      </c>
      <c r="K7" s="21">
        <f>78/8</f>
        <v>9.75</v>
      </c>
      <c r="L7" s="21">
        <v>20</v>
      </c>
      <c r="M7" s="43">
        <f>78</f>
        <v>78</v>
      </c>
      <c r="N7" s="43">
        <f>78</f>
        <v>78</v>
      </c>
      <c r="O7" s="43">
        <f>M7+N7</f>
        <v>156</v>
      </c>
      <c r="P7" s="43"/>
      <c r="Q7" s="21">
        <f>O7+L7+I7+H7+D7</f>
        <v>221</v>
      </c>
      <c r="R7" s="40"/>
    </row>
    <row r="8" spans="1:18" ht="15.75" x14ac:dyDescent="0.25">
      <c r="A8" s="14" t="s">
        <v>47</v>
      </c>
      <c r="B8" s="28" t="s">
        <v>49</v>
      </c>
      <c r="C8" s="27">
        <v>15</v>
      </c>
      <c r="D8" s="29">
        <v>10</v>
      </c>
      <c r="E8" s="29">
        <f>150/15</f>
        <v>10</v>
      </c>
      <c r="F8" s="29">
        <f>146/15</f>
        <v>9.7333333333333325</v>
      </c>
      <c r="G8" s="29">
        <f>59/15</f>
        <v>3.9333333333333331</v>
      </c>
      <c r="H8" s="29">
        <v>24</v>
      </c>
      <c r="I8" s="29">
        <v>10</v>
      </c>
      <c r="J8" s="29">
        <f>148/15</f>
        <v>9.8666666666666671</v>
      </c>
      <c r="K8" s="29">
        <f>148/15</f>
        <v>9.8666666666666671</v>
      </c>
      <c r="L8" s="29">
        <v>20</v>
      </c>
      <c r="M8" s="43">
        <f>146</f>
        <v>146</v>
      </c>
      <c r="N8" s="43">
        <f>136</f>
        <v>136</v>
      </c>
      <c r="O8" s="43">
        <f t="shared" ref="O8:O36" si="1">M8+N8</f>
        <v>282</v>
      </c>
      <c r="P8" s="43"/>
      <c r="Q8" s="29">
        <f>O8+L8+I8+H8+D8</f>
        <v>346</v>
      </c>
      <c r="R8" s="40"/>
    </row>
    <row r="9" spans="1:18" ht="18.75" x14ac:dyDescent="0.25">
      <c r="A9" s="18">
        <v>2</v>
      </c>
      <c r="B9" s="19" t="s">
        <v>2</v>
      </c>
      <c r="C9" s="2">
        <f>C10+C11</f>
        <v>25</v>
      </c>
      <c r="D9" s="21"/>
      <c r="E9" s="21"/>
      <c r="F9" s="21"/>
      <c r="G9" s="21"/>
      <c r="H9" s="21"/>
      <c r="I9" s="21"/>
      <c r="J9" s="21"/>
      <c r="K9" s="21"/>
      <c r="L9" s="21"/>
      <c r="M9" s="47">
        <f>M10+M11</f>
        <v>244</v>
      </c>
      <c r="N9" s="47">
        <f>N10+N11</f>
        <v>234</v>
      </c>
      <c r="O9" s="47">
        <f t="shared" si="1"/>
        <v>478</v>
      </c>
      <c r="P9" s="47"/>
      <c r="Q9" s="48"/>
      <c r="R9" s="40"/>
    </row>
    <row r="10" spans="1:18" ht="15.75" x14ac:dyDescent="0.25">
      <c r="A10" s="14" t="s">
        <v>43</v>
      </c>
      <c r="B10" s="13" t="s">
        <v>50</v>
      </c>
      <c r="C10" s="2">
        <v>15</v>
      </c>
      <c r="D10" s="21">
        <v>10</v>
      </c>
      <c r="E10" s="21">
        <f>130/15</f>
        <v>8.6666666666666661</v>
      </c>
      <c r="F10" s="21">
        <f>144/15</f>
        <v>9.6</v>
      </c>
      <c r="G10" s="21">
        <f>58/15</f>
        <v>3.8666666666666667</v>
      </c>
      <c r="H10" s="21">
        <v>22</v>
      </c>
      <c r="I10" s="21">
        <v>10</v>
      </c>
      <c r="J10" s="21">
        <f>144/15</f>
        <v>9.6</v>
      </c>
      <c r="K10" s="21">
        <f>148/15</f>
        <v>9.8666666666666671</v>
      </c>
      <c r="L10" s="21">
        <v>20</v>
      </c>
      <c r="M10" s="43">
        <f>148</f>
        <v>148</v>
      </c>
      <c r="N10" s="43">
        <f>138</f>
        <v>138</v>
      </c>
      <c r="O10" s="43">
        <f t="shared" si="1"/>
        <v>286</v>
      </c>
      <c r="P10" s="43"/>
      <c r="Q10" s="21">
        <f>O10+L10+I10+H10+D10</f>
        <v>348</v>
      </c>
      <c r="R10" s="40"/>
    </row>
    <row r="11" spans="1:18" ht="15.75" x14ac:dyDescent="0.25">
      <c r="A11" s="14" t="s">
        <v>44</v>
      </c>
      <c r="B11" s="13" t="s">
        <v>51</v>
      </c>
      <c r="C11" s="2">
        <v>10</v>
      </c>
      <c r="D11" s="21">
        <v>10</v>
      </c>
      <c r="E11" s="21">
        <f>98/10</f>
        <v>9.8000000000000007</v>
      </c>
      <c r="F11" s="21">
        <f>96/10</f>
        <v>9.6</v>
      </c>
      <c r="G11" s="21">
        <f>35/10</f>
        <v>3.5</v>
      </c>
      <c r="H11" s="21">
        <v>24</v>
      </c>
      <c r="I11" s="21">
        <v>10</v>
      </c>
      <c r="J11" s="21">
        <f>96/10</f>
        <v>9.6</v>
      </c>
      <c r="K11" s="21">
        <f>98/10</f>
        <v>9.8000000000000007</v>
      </c>
      <c r="L11" s="21">
        <v>20</v>
      </c>
      <c r="M11" s="43">
        <f>96</f>
        <v>96</v>
      </c>
      <c r="N11" s="43">
        <f>96</f>
        <v>96</v>
      </c>
      <c r="O11" s="43">
        <f t="shared" si="1"/>
        <v>192</v>
      </c>
      <c r="P11" s="43"/>
      <c r="Q11" s="21">
        <f>O11+L11+I11+H11+D11</f>
        <v>256</v>
      </c>
      <c r="R11" s="40"/>
    </row>
    <row r="12" spans="1:18" ht="18.75" x14ac:dyDescent="0.25">
      <c r="A12" s="18">
        <v>3</v>
      </c>
      <c r="B12" s="19" t="s">
        <v>3</v>
      </c>
      <c r="C12" s="49">
        <f>C13+C14+C15</f>
        <v>49</v>
      </c>
      <c r="D12" s="50"/>
      <c r="E12" s="50"/>
      <c r="F12" s="50"/>
      <c r="G12" s="50"/>
      <c r="H12" s="50"/>
      <c r="I12" s="50"/>
      <c r="J12" s="50"/>
      <c r="K12" s="50"/>
      <c r="L12" s="50"/>
      <c r="M12" s="47">
        <f>M13+M14+M15</f>
        <v>480</v>
      </c>
      <c r="N12" s="47">
        <f t="shared" ref="N12:O12" si="2">N13+N14+N15</f>
        <v>484</v>
      </c>
      <c r="O12" s="47">
        <f t="shared" si="2"/>
        <v>964</v>
      </c>
      <c r="P12" s="51"/>
      <c r="Q12" s="50"/>
      <c r="R12" s="40"/>
    </row>
    <row r="13" spans="1:18" ht="15.75" x14ac:dyDescent="0.25">
      <c r="A13" s="14" t="s">
        <v>30</v>
      </c>
      <c r="B13" s="15" t="s">
        <v>52</v>
      </c>
      <c r="C13" s="3">
        <v>18</v>
      </c>
      <c r="D13" s="20">
        <v>10</v>
      </c>
      <c r="E13" s="20">
        <f>180/18</f>
        <v>10</v>
      </c>
      <c r="F13" s="20">
        <f>178/18</f>
        <v>9.8888888888888893</v>
      </c>
      <c r="G13" s="20">
        <f>82/18</f>
        <v>4.5555555555555554</v>
      </c>
      <c r="H13" s="21">
        <v>25</v>
      </c>
      <c r="I13" s="20">
        <v>10</v>
      </c>
      <c r="J13" s="20">
        <f>176/18</f>
        <v>9.7777777777777786</v>
      </c>
      <c r="K13" s="20">
        <f>176/18</f>
        <v>9.7777777777777786</v>
      </c>
      <c r="L13" s="21">
        <v>20</v>
      </c>
      <c r="M13" s="45">
        <f>176</f>
        <v>176</v>
      </c>
      <c r="N13" s="45">
        <f>178</f>
        <v>178</v>
      </c>
      <c r="O13" s="43">
        <f t="shared" si="1"/>
        <v>354</v>
      </c>
      <c r="P13" s="43"/>
      <c r="Q13" s="21">
        <f>O13+L13+I13+H13+D13</f>
        <v>419</v>
      </c>
      <c r="R13" s="40"/>
    </row>
    <row r="14" spans="1:18" ht="15.75" x14ac:dyDescent="0.25">
      <c r="A14" s="14" t="s">
        <v>31</v>
      </c>
      <c r="B14" s="15" t="s">
        <v>53</v>
      </c>
      <c r="C14" s="3">
        <v>16</v>
      </c>
      <c r="D14" s="20">
        <v>10</v>
      </c>
      <c r="E14" s="20">
        <f>148/16</f>
        <v>9.25</v>
      </c>
      <c r="F14" s="20">
        <f>156/16</f>
        <v>9.75</v>
      </c>
      <c r="G14" s="20">
        <f>60/16</f>
        <v>3.75</v>
      </c>
      <c r="H14" s="21">
        <v>23</v>
      </c>
      <c r="I14" s="20">
        <v>10</v>
      </c>
      <c r="J14" s="20">
        <f>158/16</f>
        <v>9.875</v>
      </c>
      <c r="K14" s="20">
        <f>154/16</f>
        <v>9.625</v>
      </c>
      <c r="L14" s="21">
        <v>20</v>
      </c>
      <c r="M14" s="45">
        <f>156</f>
        <v>156</v>
      </c>
      <c r="N14" s="45">
        <f>160</f>
        <v>160</v>
      </c>
      <c r="O14" s="43">
        <f t="shared" si="1"/>
        <v>316</v>
      </c>
      <c r="P14" s="43"/>
      <c r="Q14" s="21">
        <f>O14+L14+I14+H14+D14</f>
        <v>379</v>
      </c>
      <c r="R14" s="40"/>
    </row>
    <row r="15" spans="1:18" ht="15.75" x14ac:dyDescent="0.25">
      <c r="A15" s="14" t="s">
        <v>32</v>
      </c>
      <c r="B15" s="15" t="s">
        <v>54</v>
      </c>
      <c r="C15" s="3">
        <v>15</v>
      </c>
      <c r="D15" s="20">
        <v>10</v>
      </c>
      <c r="E15" s="20">
        <f>146/15</f>
        <v>9.7333333333333325</v>
      </c>
      <c r="F15" s="20">
        <f>144/15</f>
        <v>9.6</v>
      </c>
      <c r="G15" s="20">
        <f>60/15</f>
        <v>4</v>
      </c>
      <c r="H15" s="21">
        <v>24</v>
      </c>
      <c r="I15" s="20">
        <v>10</v>
      </c>
      <c r="J15" s="20">
        <f>148/15</f>
        <v>9.8666666666666671</v>
      </c>
      <c r="K15" s="20">
        <f>148/15</f>
        <v>9.8666666666666671</v>
      </c>
      <c r="L15" s="21">
        <v>20</v>
      </c>
      <c r="M15" s="45">
        <f>148</f>
        <v>148</v>
      </c>
      <c r="N15" s="45">
        <f>146</f>
        <v>146</v>
      </c>
      <c r="O15" s="43">
        <f t="shared" si="1"/>
        <v>294</v>
      </c>
      <c r="P15" s="43"/>
      <c r="Q15" s="21">
        <f>O15+L15+I15+H15+D15</f>
        <v>358</v>
      </c>
      <c r="R15" s="40"/>
    </row>
    <row r="16" spans="1:18" ht="18.75" x14ac:dyDescent="0.25">
      <c r="A16" s="18">
        <v>4</v>
      </c>
      <c r="B16" s="19" t="s">
        <v>4</v>
      </c>
      <c r="C16" s="49">
        <f>C17</f>
        <v>15</v>
      </c>
      <c r="D16" s="50"/>
      <c r="E16" s="50"/>
      <c r="F16" s="50"/>
      <c r="G16" s="50"/>
      <c r="H16" s="50"/>
      <c r="I16" s="50"/>
      <c r="J16" s="50"/>
      <c r="K16" s="50"/>
      <c r="L16" s="50"/>
      <c r="M16" s="47">
        <f>M17</f>
        <v>148</v>
      </c>
      <c r="N16" s="47">
        <f t="shared" ref="N16:Q16" si="3">N17</f>
        <v>148</v>
      </c>
      <c r="O16" s="47">
        <f t="shared" si="3"/>
        <v>296</v>
      </c>
      <c r="P16" s="47">
        <f t="shared" si="3"/>
        <v>0</v>
      </c>
      <c r="Q16" s="47">
        <f t="shared" si="3"/>
        <v>360</v>
      </c>
      <c r="R16" s="40"/>
    </row>
    <row r="17" spans="1:141" ht="15.75" x14ac:dyDescent="0.25">
      <c r="A17" s="14" t="s">
        <v>70</v>
      </c>
      <c r="B17" s="15" t="s">
        <v>55</v>
      </c>
      <c r="C17" s="2">
        <v>15</v>
      </c>
      <c r="D17" s="21">
        <v>10</v>
      </c>
      <c r="E17" s="21">
        <f>140/15</f>
        <v>9.3333333333333339</v>
      </c>
      <c r="F17" s="21">
        <f>150/15</f>
        <v>10</v>
      </c>
      <c r="G17" s="21">
        <f>71/15</f>
        <v>4.7333333333333334</v>
      </c>
      <c r="H17" s="21">
        <v>24</v>
      </c>
      <c r="I17" s="21">
        <v>10</v>
      </c>
      <c r="J17" s="21">
        <f>150/15</f>
        <v>10</v>
      </c>
      <c r="K17" s="21">
        <f>144/15</f>
        <v>9.6</v>
      </c>
      <c r="L17" s="21">
        <v>20</v>
      </c>
      <c r="M17" s="43">
        <f>148</f>
        <v>148</v>
      </c>
      <c r="N17" s="43">
        <f>148</f>
        <v>148</v>
      </c>
      <c r="O17" s="43">
        <f t="shared" si="1"/>
        <v>296</v>
      </c>
      <c r="P17" s="43"/>
      <c r="Q17" s="21">
        <f>O17+L17+I17+H17+D17</f>
        <v>360</v>
      </c>
      <c r="R17" s="40"/>
    </row>
    <row r="18" spans="1:141" ht="18.75" x14ac:dyDescent="0.25">
      <c r="A18" s="18">
        <v>5</v>
      </c>
      <c r="B18" s="19" t="s">
        <v>5</v>
      </c>
      <c r="C18" s="49">
        <f>C19</f>
        <v>15</v>
      </c>
      <c r="D18" s="50"/>
      <c r="E18" s="50"/>
      <c r="F18" s="50"/>
      <c r="G18" s="50"/>
      <c r="H18" s="50"/>
      <c r="I18" s="50"/>
      <c r="J18" s="50"/>
      <c r="K18" s="50"/>
      <c r="L18" s="50"/>
      <c r="M18" s="47">
        <f>M19</f>
        <v>148</v>
      </c>
      <c r="N18" s="47">
        <f t="shared" ref="N18:Q18" si="4">N19</f>
        <v>146</v>
      </c>
      <c r="O18" s="47">
        <f t="shared" si="4"/>
        <v>294</v>
      </c>
      <c r="P18" s="47">
        <f t="shared" si="4"/>
        <v>0</v>
      </c>
      <c r="Q18" s="47">
        <f t="shared" si="4"/>
        <v>357</v>
      </c>
      <c r="R18" s="40"/>
    </row>
    <row r="19" spans="1:141" ht="15.75" x14ac:dyDescent="0.25">
      <c r="A19" s="14" t="s">
        <v>71</v>
      </c>
      <c r="B19" s="26" t="s">
        <v>56</v>
      </c>
      <c r="C19" s="27">
        <v>15</v>
      </c>
      <c r="D19" s="29">
        <v>10</v>
      </c>
      <c r="E19" s="29">
        <f>134/15</f>
        <v>8.9333333333333336</v>
      </c>
      <c r="F19" s="29">
        <f>146/15</f>
        <v>9.7333333333333325</v>
      </c>
      <c r="G19" s="29">
        <f>60/15</f>
        <v>4</v>
      </c>
      <c r="H19" s="25">
        <v>23</v>
      </c>
      <c r="I19" s="29">
        <v>10</v>
      </c>
      <c r="J19" s="25">
        <f>150/15</f>
        <v>10</v>
      </c>
      <c r="K19" s="29">
        <f>148/15</f>
        <v>9.8666666666666671</v>
      </c>
      <c r="L19" s="29">
        <v>20</v>
      </c>
      <c r="M19" s="43">
        <f>148</f>
        <v>148</v>
      </c>
      <c r="N19" s="43">
        <f>146</f>
        <v>146</v>
      </c>
      <c r="O19" s="43">
        <f t="shared" si="1"/>
        <v>294</v>
      </c>
      <c r="P19" s="43"/>
      <c r="Q19" s="29">
        <f>O19+L19+I19+H19+D19</f>
        <v>357</v>
      </c>
      <c r="R19" s="40"/>
    </row>
    <row r="20" spans="1:141" ht="18.75" x14ac:dyDescent="0.25">
      <c r="A20" s="18">
        <v>6</v>
      </c>
      <c r="B20" s="19" t="s">
        <v>6</v>
      </c>
      <c r="C20" s="49">
        <f>C21+C22+C23</f>
        <v>43</v>
      </c>
      <c r="D20" s="50"/>
      <c r="E20" s="50"/>
      <c r="F20" s="50"/>
      <c r="G20" s="50"/>
      <c r="H20" s="50"/>
      <c r="I20" s="50"/>
      <c r="J20" s="50"/>
      <c r="K20" s="50"/>
      <c r="L20" s="50"/>
      <c r="M20" s="47">
        <f>M21+M22+M23</f>
        <v>416</v>
      </c>
      <c r="N20" s="47">
        <f t="shared" ref="N20:O20" si="5">N21+N22+N23</f>
        <v>414</v>
      </c>
      <c r="O20" s="47">
        <f t="shared" si="5"/>
        <v>830</v>
      </c>
      <c r="P20" s="51"/>
      <c r="Q20" s="50"/>
      <c r="R20" s="40"/>
    </row>
    <row r="21" spans="1:141" ht="30" x14ac:dyDescent="0.25">
      <c r="A21" s="14" t="s">
        <v>33</v>
      </c>
      <c r="B21" s="16" t="s">
        <v>57</v>
      </c>
      <c r="C21" s="3">
        <v>13</v>
      </c>
      <c r="D21" s="21">
        <v>10</v>
      </c>
      <c r="E21" s="21">
        <f>114/13</f>
        <v>8.7692307692307701</v>
      </c>
      <c r="F21" s="21">
        <f>124/13</f>
        <v>9.5384615384615383</v>
      </c>
      <c r="G21" s="21">
        <f>53/13</f>
        <v>4.0769230769230766</v>
      </c>
      <c r="H21" s="21">
        <v>23</v>
      </c>
      <c r="I21" s="21">
        <v>10</v>
      </c>
      <c r="J21" s="21">
        <f>128/13</f>
        <v>9.8461538461538467</v>
      </c>
      <c r="K21" s="21">
        <f>128/13</f>
        <v>9.8461538461538467</v>
      </c>
      <c r="L21" s="21">
        <v>20</v>
      </c>
      <c r="M21" s="43">
        <f>124</f>
        <v>124</v>
      </c>
      <c r="N21" s="43">
        <f>128</f>
        <v>128</v>
      </c>
      <c r="O21" s="43">
        <f t="shared" si="1"/>
        <v>252</v>
      </c>
      <c r="P21" s="43"/>
      <c r="Q21" s="21">
        <f>O21+L21+I21+H21+D21</f>
        <v>315</v>
      </c>
      <c r="R21" s="40"/>
    </row>
    <row r="22" spans="1:141" ht="15.75" x14ac:dyDescent="0.25">
      <c r="A22" s="14" t="s">
        <v>34</v>
      </c>
      <c r="B22" s="15" t="s">
        <v>58</v>
      </c>
      <c r="C22" s="3">
        <v>15</v>
      </c>
      <c r="D22" s="20">
        <v>10</v>
      </c>
      <c r="E22" s="20">
        <f>148/15</f>
        <v>9.8666666666666671</v>
      </c>
      <c r="F22" s="20">
        <f>148/15</f>
        <v>9.8666666666666671</v>
      </c>
      <c r="G22" s="20">
        <f>75/15</f>
        <v>5</v>
      </c>
      <c r="H22" s="21">
        <v>25</v>
      </c>
      <c r="I22" s="20">
        <v>10</v>
      </c>
      <c r="J22" s="20">
        <f>150/15</f>
        <v>10</v>
      </c>
      <c r="K22" s="20">
        <f>148/15</f>
        <v>9.8666666666666671</v>
      </c>
      <c r="L22" s="21">
        <v>20</v>
      </c>
      <c r="M22" s="45">
        <f>146</f>
        <v>146</v>
      </c>
      <c r="N22" s="45">
        <f>144</f>
        <v>144</v>
      </c>
      <c r="O22" s="43">
        <f t="shared" si="1"/>
        <v>290</v>
      </c>
      <c r="P22" s="43"/>
      <c r="Q22" s="21">
        <f>O22+L22+I22+H22+D22</f>
        <v>355</v>
      </c>
      <c r="R22" s="40"/>
    </row>
    <row r="23" spans="1:141" ht="30" x14ac:dyDescent="0.25">
      <c r="A23" s="14" t="s">
        <v>35</v>
      </c>
      <c r="B23" s="22" t="s">
        <v>59</v>
      </c>
      <c r="C23" s="23">
        <v>15</v>
      </c>
      <c r="D23" s="37">
        <v>10</v>
      </c>
      <c r="E23" s="37">
        <f>150/15</f>
        <v>10</v>
      </c>
      <c r="F23" s="37">
        <f>140/15</f>
        <v>9.3333333333333339</v>
      </c>
      <c r="G23" s="37">
        <f>69/15</f>
        <v>4.5999999999999996</v>
      </c>
      <c r="H23" s="29">
        <v>24</v>
      </c>
      <c r="I23" s="37">
        <v>10</v>
      </c>
      <c r="J23" s="37">
        <f>148/15</f>
        <v>9.8666666666666671</v>
      </c>
      <c r="K23" s="37">
        <f>148/15</f>
        <v>9.8666666666666671</v>
      </c>
      <c r="L23" s="29">
        <v>20</v>
      </c>
      <c r="M23" s="45">
        <f>146</f>
        <v>146</v>
      </c>
      <c r="N23" s="45">
        <f>142</f>
        <v>142</v>
      </c>
      <c r="O23" s="43">
        <f t="shared" si="1"/>
        <v>288</v>
      </c>
      <c r="P23" s="43"/>
      <c r="Q23" s="29">
        <f>O23+L23+I23+H23+D23</f>
        <v>352</v>
      </c>
      <c r="R23" s="40"/>
    </row>
    <row r="24" spans="1:141" ht="22.5" customHeight="1" x14ac:dyDescent="0.25">
      <c r="A24" s="18">
        <v>7</v>
      </c>
      <c r="B24" s="19" t="s">
        <v>7</v>
      </c>
      <c r="C24" s="49">
        <f>C25+C26+C27+C28</f>
        <v>59</v>
      </c>
      <c r="D24" s="50"/>
      <c r="E24" s="50"/>
      <c r="F24" s="50"/>
      <c r="G24" s="50"/>
      <c r="H24" s="50"/>
      <c r="I24" s="50"/>
      <c r="J24" s="50"/>
      <c r="K24" s="50"/>
      <c r="L24" s="50"/>
      <c r="M24" s="47">
        <f>M25+M26+M27+M28</f>
        <v>574</v>
      </c>
      <c r="N24" s="47">
        <f>N25+N26+N27+N28</f>
        <v>569</v>
      </c>
      <c r="O24" s="47">
        <f t="shared" si="1"/>
        <v>1143</v>
      </c>
      <c r="P24" s="51"/>
      <c r="Q24" s="50"/>
      <c r="R24" s="40"/>
    </row>
    <row r="25" spans="1:141" ht="15.75" x14ac:dyDescent="0.25">
      <c r="A25" s="14" t="s">
        <v>36</v>
      </c>
      <c r="B25" s="17" t="s">
        <v>60</v>
      </c>
      <c r="C25" s="3">
        <v>15</v>
      </c>
      <c r="D25" s="20">
        <v>10</v>
      </c>
      <c r="E25" s="20">
        <f>146/15</f>
        <v>9.7333333333333325</v>
      </c>
      <c r="F25" s="20">
        <f>146/15</f>
        <v>9.7333333333333325</v>
      </c>
      <c r="G25" s="20">
        <f>56/15</f>
        <v>3.7333333333333334</v>
      </c>
      <c r="H25" s="21">
        <v>24</v>
      </c>
      <c r="I25" s="20">
        <v>10</v>
      </c>
      <c r="J25" s="20">
        <f t="shared" ref="J25:K26" si="6">150/15</f>
        <v>10</v>
      </c>
      <c r="K25" s="20">
        <f t="shared" si="6"/>
        <v>10</v>
      </c>
      <c r="L25" s="21">
        <v>20</v>
      </c>
      <c r="M25" s="45">
        <f>148</f>
        <v>148</v>
      </c>
      <c r="N25" s="45">
        <f>137</f>
        <v>137</v>
      </c>
      <c r="O25" s="43">
        <f t="shared" si="1"/>
        <v>285</v>
      </c>
      <c r="P25" s="43"/>
      <c r="Q25" s="21">
        <f>O25+L25+I25+H25+D25</f>
        <v>349</v>
      </c>
      <c r="R25" s="40"/>
    </row>
    <row r="26" spans="1:141" ht="15.75" x14ac:dyDescent="0.25">
      <c r="A26" s="14" t="s">
        <v>37</v>
      </c>
      <c r="B26" s="22" t="s">
        <v>61</v>
      </c>
      <c r="C26" s="23">
        <v>15</v>
      </c>
      <c r="D26" s="24">
        <v>10</v>
      </c>
      <c r="E26" s="24">
        <f>150/15</f>
        <v>10</v>
      </c>
      <c r="F26" s="24">
        <f>150/15</f>
        <v>10</v>
      </c>
      <c r="G26" s="37">
        <f>60/15</f>
        <v>4</v>
      </c>
      <c r="H26" s="29">
        <v>24</v>
      </c>
      <c r="I26" s="37">
        <v>10</v>
      </c>
      <c r="J26" s="37">
        <f t="shared" si="6"/>
        <v>10</v>
      </c>
      <c r="K26" s="37">
        <f t="shared" si="6"/>
        <v>10</v>
      </c>
      <c r="L26" s="29">
        <v>20</v>
      </c>
      <c r="M26" s="45">
        <f>150</f>
        <v>150</v>
      </c>
      <c r="N26" s="45">
        <f>150</f>
        <v>150</v>
      </c>
      <c r="O26" s="43">
        <f t="shared" si="1"/>
        <v>300</v>
      </c>
      <c r="P26" s="43"/>
      <c r="Q26" s="29">
        <f>O26+L26+I26+H26+D26</f>
        <v>364</v>
      </c>
      <c r="R26" s="40"/>
    </row>
    <row r="27" spans="1:141" ht="15.75" x14ac:dyDescent="0.25">
      <c r="A27" s="14" t="s">
        <v>38</v>
      </c>
      <c r="B27" s="17" t="s">
        <v>62</v>
      </c>
      <c r="C27" s="3">
        <v>15</v>
      </c>
      <c r="D27" s="20">
        <v>10</v>
      </c>
      <c r="E27" s="20">
        <f>148/15</f>
        <v>9.8666666666666671</v>
      </c>
      <c r="F27" s="20">
        <f>149/15</f>
        <v>9.9333333333333336</v>
      </c>
      <c r="G27" s="20">
        <f>63/15</f>
        <v>4.2</v>
      </c>
      <c r="H27" s="21">
        <v>24</v>
      </c>
      <c r="I27" s="20">
        <v>10</v>
      </c>
      <c r="J27" s="20">
        <f>150/15</f>
        <v>10</v>
      </c>
      <c r="K27" s="20">
        <f>148/15</f>
        <v>9.8666666666666671</v>
      </c>
      <c r="L27" s="21">
        <v>20</v>
      </c>
      <c r="M27" s="45">
        <f>148</f>
        <v>148</v>
      </c>
      <c r="N27" s="45">
        <f>144</f>
        <v>144</v>
      </c>
      <c r="O27" s="43">
        <f t="shared" si="1"/>
        <v>292</v>
      </c>
      <c r="P27" s="43"/>
      <c r="Q27" s="21">
        <f>O27+L27+I27+H27+D27</f>
        <v>356</v>
      </c>
      <c r="R27" s="40"/>
    </row>
    <row r="28" spans="1:141" ht="15.75" x14ac:dyDescent="0.25">
      <c r="A28" s="14" t="s">
        <v>39</v>
      </c>
      <c r="B28" s="17" t="s">
        <v>63</v>
      </c>
      <c r="C28" s="3">
        <v>14</v>
      </c>
      <c r="D28" s="20">
        <v>10</v>
      </c>
      <c r="E28" s="20">
        <f>136/14</f>
        <v>9.7142857142857135</v>
      </c>
      <c r="F28" s="20">
        <f>138/14</f>
        <v>9.8571428571428577</v>
      </c>
      <c r="G28" s="20">
        <f>52/14</f>
        <v>3.7142857142857144</v>
      </c>
      <c r="H28" s="21">
        <v>24</v>
      </c>
      <c r="I28" s="20">
        <v>10</v>
      </c>
      <c r="J28" s="20">
        <f>138/14</f>
        <v>9.8571428571428577</v>
      </c>
      <c r="K28" s="20">
        <f>138/14</f>
        <v>9.8571428571428577</v>
      </c>
      <c r="L28" s="21">
        <v>20</v>
      </c>
      <c r="M28" s="45">
        <f>128</f>
        <v>128</v>
      </c>
      <c r="N28" s="45">
        <f>138</f>
        <v>138</v>
      </c>
      <c r="O28" s="43">
        <f t="shared" si="1"/>
        <v>266</v>
      </c>
      <c r="P28" s="43"/>
      <c r="Q28" s="21">
        <f>O28+L28+I28+H28+D28</f>
        <v>330</v>
      </c>
      <c r="R28" s="40"/>
    </row>
    <row r="29" spans="1:141" ht="18.75" x14ac:dyDescent="0.25">
      <c r="A29" s="18">
        <v>8</v>
      </c>
      <c r="B29" s="19" t="s">
        <v>8</v>
      </c>
      <c r="C29" s="49">
        <f>C30</f>
        <v>15</v>
      </c>
      <c r="D29" s="52"/>
      <c r="E29" s="52"/>
      <c r="F29" s="52"/>
      <c r="G29" s="52"/>
      <c r="H29" s="50"/>
      <c r="I29" s="52"/>
      <c r="J29" s="52"/>
      <c r="K29" s="52"/>
      <c r="L29" s="50"/>
      <c r="M29" s="53">
        <f>M30</f>
        <v>146</v>
      </c>
      <c r="N29" s="53">
        <f t="shared" ref="N29:Q29" si="7">N30</f>
        <v>146</v>
      </c>
      <c r="O29" s="53">
        <f t="shared" si="7"/>
        <v>292</v>
      </c>
      <c r="P29" s="53">
        <f t="shared" si="7"/>
        <v>0</v>
      </c>
      <c r="Q29" s="53">
        <f t="shared" si="7"/>
        <v>356</v>
      </c>
      <c r="R29" s="40"/>
    </row>
    <row r="30" spans="1:141" ht="15.75" x14ac:dyDescent="0.25">
      <c r="A30" s="30" t="s">
        <v>72</v>
      </c>
      <c r="B30" s="31" t="s">
        <v>64</v>
      </c>
      <c r="C30" s="32">
        <v>15</v>
      </c>
      <c r="D30" s="33">
        <v>10</v>
      </c>
      <c r="E30" s="35">
        <f>144/15</f>
        <v>9.6</v>
      </c>
      <c r="F30" s="35">
        <f>150/15</f>
        <v>10</v>
      </c>
      <c r="G30" s="35">
        <f>66/15</f>
        <v>4.4000000000000004</v>
      </c>
      <c r="H30" s="36">
        <v>24</v>
      </c>
      <c r="I30" s="35">
        <v>10</v>
      </c>
      <c r="J30" s="35">
        <f>150/15</f>
        <v>10</v>
      </c>
      <c r="K30" s="35">
        <f>150/15</f>
        <v>10</v>
      </c>
      <c r="L30" s="36">
        <v>20</v>
      </c>
      <c r="M30" s="45">
        <f>146</f>
        <v>146</v>
      </c>
      <c r="N30" s="45">
        <f>146</f>
        <v>146</v>
      </c>
      <c r="O30" s="43">
        <f t="shared" si="1"/>
        <v>292</v>
      </c>
      <c r="P30" s="43"/>
      <c r="Q30" s="36">
        <f>O30+L30+I30+H30+D30</f>
        <v>356</v>
      </c>
      <c r="R30" s="4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</row>
    <row r="31" spans="1:141" ht="18.75" x14ac:dyDescent="0.25">
      <c r="A31" s="18">
        <v>9</v>
      </c>
      <c r="B31" s="19" t="s">
        <v>9</v>
      </c>
      <c r="C31" s="49">
        <f>C32+C33+C34</f>
        <v>38</v>
      </c>
      <c r="D31" s="50"/>
      <c r="E31" s="50"/>
      <c r="F31" s="50"/>
      <c r="G31" s="50"/>
      <c r="H31" s="50"/>
      <c r="I31" s="50"/>
      <c r="J31" s="50"/>
      <c r="K31" s="50"/>
      <c r="L31" s="50"/>
      <c r="M31" s="47">
        <f>M32+M33+M34</f>
        <v>352</v>
      </c>
      <c r="N31" s="47">
        <f t="shared" ref="N31:Q31" si="8">N32+N33+N34</f>
        <v>362</v>
      </c>
      <c r="O31" s="47">
        <f t="shared" si="8"/>
        <v>714</v>
      </c>
      <c r="P31" s="47">
        <f t="shared" si="8"/>
        <v>0</v>
      </c>
      <c r="Q31" s="47">
        <f t="shared" si="8"/>
        <v>907</v>
      </c>
      <c r="R31" s="40"/>
    </row>
    <row r="32" spans="1:141" ht="15.75" x14ac:dyDescent="0.25">
      <c r="A32" s="14" t="s">
        <v>40</v>
      </c>
      <c r="B32" s="17" t="s">
        <v>65</v>
      </c>
      <c r="C32" s="4">
        <v>8</v>
      </c>
      <c r="D32" s="20">
        <v>10</v>
      </c>
      <c r="E32" s="20">
        <f>78/8</f>
        <v>9.75</v>
      </c>
      <c r="F32" s="20">
        <f>78/8</f>
        <v>9.75</v>
      </c>
      <c r="G32" s="20">
        <f>38/8</f>
        <v>4.75</v>
      </c>
      <c r="H32" s="21">
        <v>25</v>
      </c>
      <c r="I32" s="20">
        <v>10</v>
      </c>
      <c r="J32" s="20">
        <f>80/8</f>
        <v>10</v>
      </c>
      <c r="K32" s="20">
        <f>76/8</f>
        <v>9.5</v>
      </c>
      <c r="L32" s="21">
        <v>20</v>
      </c>
      <c r="M32" s="46">
        <f>72</f>
        <v>72</v>
      </c>
      <c r="N32" s="45">
        <f>76</f>
        <v>76</v>
      </c>
      <c r="O32" s="43">
        <f t="shared" si="1"/>
        <v>148</v>
      </c>
      <c r="P32" s="44"/>
      <c r="Q32" s="21">
        <f>O32+L32+I32+H32+D32</f>
        <v>213</v>
      </c>
      <c r="R32" s="40"/>
    </row>
    <row r="33" spans="1:18" ht="15.75" x14ac:dyDescent="0.25">
      <c r="A33" s="14" t="s">
        <v>41</v>
      </c>
      <c r="B33" s="22" t="s">
        <v>66</v>
      </c>
      <c r="C33" s="23">
        <v>15</v>
      </c>
      <c r="D33" s="24">
        <v>10</v>
      </c>
      <c r="E33" s="37">
        <f>146/15</f>
        <v>9.7333333333333325</v>
      </c>
      <c r="F33" s="37">
        <f>148/15</f>
        <v>9.8666666666666671</v>
      </c>
      <c r="G33" s="37">
        <f>62/15</f>
        <v>4.1333333333333337</v>
      </c>
      <c r="H33" s="29">
        <v>24</v>
      </c>
      <c r="I33" s="37">
        <v>10</v>
      </c>
      <c r="J33" s="37">
        <f>150/15</f>
        <v>10</v>
      </c>
      <c r="K33" s="37">
        <f>146/15</f>
        <v>9.7333333333333325</v>
      </c>
      <c r="L33" s="29">
        <v>20</v>
      </c>
      <c r="M33" s="45">
        <f>144</f>
        <v>144</v>
      </c>
      <c r="N33" s="45">
        <f>138</f>
        <v>138</v>
      </c>
      <c r="O33" s="43">
        <f t="shared" si="1"/>
        <v>282</v>
      </c>
      <c r="P33" s="43"/>
      <c r="Q33" s="25">
        <f>O33+L33+I33+H33+D33</f>
        <v>346</v>
      </c>
      <c r="R33" s="40"/>
    </row>
    <row r="34" spans="1:18" ht="15.75" x14ac:dyDescent="0.25">
      <c r="A34" s="14" t="s">
        <v>42</v>
      </c>
      <c r="B34" s="17" t="s">
        <v>67</v>
      </c>
      <c r="C34" s="3">
        <v>15</v>
      </c>
      <c r="D34" s="4">
        <v>10</v>
      </c>
      <c r="E34" s="20">
        <f>146/15</f>
        <v>9.7333333333333325</v>
      </c>
      <c r="F34" s="20">
        <f>148/15</f>
        <v>9.8666666666666671</v>
      </c>
      <c r="G34" s="20">
        <f>63/15</f>
        <v>4.2</v>
      </c>
      <c r="H34" s="21">
        <v>24</v>
      </c>
      <c r="I34" s="20">
        <v>10</v>
      </c>
      <c r="J34" s="20">
        <f>144/15</f>
        <v>9.6</v>
      </c>
      <c r="K34" s="20">
        <f>146/15</f>
        <v>9.7333333333333325</v>
      </c>
      <c r="L34" s="21">
        <v>20</v>
      </c>
      <c r="M34" s="45">
        <f>136</f>
        <v>136</v>
      </c>
      <c r="N34" s="45">
        <f>148</f>
        <v>148</v>
      </c>
      <c r="O34" s="43">
        <f t="shared" si="1"/>
        <v>284</v>
      </c>
      <c r="P34" s="43"/>
      <c r="Q34" s="21">
        <f>O34+L34+I34+H34+D34</f>
        <v>348</v>
      </c>
      <c r="R34" s="40"/>
    </row>
    <row r="35" spans="1:18" ht="18.75" x14ac:dyDescent="0.25">
      <c r="A35" s="18">
        <v>10</v>
      </c>
      <c r="B35" s="39" t="s">
        <v>10</v>
      </c>
      <c r="C35" s="54">
        <f>C36</f>
        <v>15</v>
      </c>
      <c r="D35" s="55"/>
      <c r="E35" s="55"/>
      <c r="F35" s="55"/>
      <c r="G35" s="55"/>
      <c r="H35" s="55"/>
      <c r="I35" s="55"/>
      <c r="J35" s="55"/>
      <c r="K35" s="55"/>
      <c r="L35" s="55"/>
      <c r="M35" s="47">
        <f>M36</f>
        <v>148</v>
      </c>
      <c r="N35" s="47">
        <f t="shared" ref="N35:Q35" si="9">N36</f>
        <v>128</v>
      </c>
      <c r="O35" s="47">
        <f t="shared" si="9"/>
        <v>276</v>
      </c>
      <c r="P35" s="47">
        <f t="shared" si="9"/>
        <v>0</v>
      </c>
      <c r="Q35" s="47">
        <f t="shared" si="9"/>
        <v>339</v>
      </c>
      <c r="R35" s="40"/>
    </row>
    <row r="36" spans="1:18" ht="15.75" x14ac:dyDescent="0.25">
      <c r="A36" s="14" t="s">
        <v>73</v>
      </c>
      <c r="B36" s="31" t="s">
        <v>68</v>
      </c>
      <c r="C36" s="32">
        <v>15</v>
      </c>
      <c r="D36" s="36">
        <v>9</v>
      </c>
      <c r="E36" s="36">
        <f>136/15</f>
        <v>9.0666666666666664</v>
      </c>
      <c r="F36" s="36">
        <f>146/15</f>
        <v>9.7333333333333325</v>
      </c>
      <c r="G36" s="36">
        <f>71/15</f>
        <v>4.7333333333333334</v>
      </c>
      <c r="H36" s="36">
        <v>24</v>
      </c>
      <c r="I36" s="36">
        <v>10</v>
      </c>
      <c r="J36" s="36">
        <f>150/15</f>
        <v>10</v>
      </c>
      <c r="K36" s="36">
        <f>144/15</f>
        <v>9.6</v>
      </c>
      <c r="L36" s="36">
        <v>20</v>
      </c>
      <c r="M36" s="43">
        <f>148</f>
        <v>148</v>
      </c>
      <c r="N36" s="43">
        <f>128</f>
        <v>128</v>
      </c>
      <c r="O36" s="43">
        <f t="shared" si="1"/>
        <v>276</v>
      </c>
      <c r="P36" s="43"/>
      <c r="Q36" s="36">
        <f>O36+L36+I36+H36+D36</f>
        <v>339</v>
      </c>
      <c r="R36" s="40"/>
    </row>
    <row r="37" spans="1:18" x14ac:dyDescent="0.25">
      <c r="A37" s="9"/>
      <c r="B37" s="9" t="s">
        <v>0</v>
      </c>
      <c r="C37" s="2">
        <f>C36+C34+C33+C32+C30+C28+C27+C26+C25+C23+C22+C21+C19+C17+C15+C14+C13+C11+C10+C8+C7+C6</f>
        <v>312</v>
      </c>
      <c r="D37" s="2">
        <f t="shared" ref="D37:Q37" si="10">D36+D34+D33+D32+D30+D28+D27+D26+D25+D23+D22+D21+D19+D17+D15+D14+D13+D11+D10+D8+D7+D6</f>
        <v>219</v>
      </c>
      <c r="E37" s="2">
        <f t="shared" si="10"/>
        <v>209.65018315018315</v>
      </c>
      <c r="F37" s="2">
        <f t="shared" si="10"/>
        <v>214.75115995115993</v>
      </c>
      <c r="G37" s="2">
        <f t="shared" si="10"/>
        <v>93.546764346764348</v>
      </c>
      <c r="H37" s="2">
        <f t="shared" si="10"/>
        <v>527</v>
      </c>
      <c r="I37" s="2">
        <f t="shared" si="10"/>
        <v>220</v>
      </c>
      <c r="J37" s="2">
        <f t="shared" si="10"/>
        <v>217.37274114774115</v>
      </c>
      <c r="K37" s="2">
        <f t="shared" si="10"/>
        <v>215.75607448107453</v>
      </c>
      <c r="L37" s="2">
        <f t="shared" si="10"/>
        <v>440</v>
      </c>
      <c r="M37" s="2">
        <f t="shared" si="10"/>
        <v>3026</v>
      </c>
      <c r="N37" s="2">
        <f t="shared" si="10"/>
        <v>2989</v>
      </c>
      <c r="O37" s="2">
        <f t="shared" si="10"/>
        <v>6015</v>
      </c>
      <c r="P37" s="2">
        <f t="shared" si="10"/>
        <v>0</v>
      </c>
      <c r="Q37" s="2">
        <f t="shared" si="10"/>
        <v>7421</v>
      </c>
      <c r="R37" s="40"/>
    </row>
    <row r="38" spans="1:18" x14ac:dyDescent="0.25">
      <c r="N38" t="s">
        <v>75</v>
      </c>
      <c r="O38" s="41">
        <f>O37/(C37*20)</f>
        <v>0.96394230769230771</v>
      </c>
    </row>
    <row r="39" spans="1:18" x14ac:dyDescent="0.25">
      <c r="C39" s="5"/>
    </row>
    <row r="40" spans="1:18" x14ac:dyDescent="0.25">
      <c r="C40" s="5"/>
      <c r="D40" s="38"/>
    </row>
    <row r="41" spans="1:18" x14ac:dyDescent="0.25">
      <c r="C41" s="5"/>
    </row>
    <row r="42" spans="1:18" x14ac:dyDescent="0.25">
      <c r="C42" s="5"/>
      <c r="F42" s="12"/>
      <c r="G42" s="12"/>
      <c r="H42" s="12"/>
      <c r="I42" s="12"/>
      <c r="J42" s="12"/>
      <c r="K42" s="12"/>
      <c r="L42" s="12"/>
      <c r="M42" s="12"/>
    </row>
    <row r="43" spans="1:18" x14ac:dyDescent="0.25">
      <c r="C43" s="6"/>
    </row>
    <row r="44" spans="1:18" x14ac:dyDescent="0.25">
      <c r="C44" s="6"/>
    </row>
    <row r="45" spans="1:18" x14ac:dyDescent="0.25">
      <c r="C45" s="6"/>
    </row>
    <row r="46" spans="1:18" x14ac:dyDescent="0.25">
      <c r="C46" s="5"/>
    </row>
    <row r="47" spans="1:18" x14ac:dyDescent="0.25">
      <c r="C47" s="5"/>
    </row>
    <row r="48" spans="1:18" x14ac:dyDescent="0.25">
      <c r="C48" s="5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5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5"/>
    </row>
    <row r="58" spans="3:3" x14ac:dyDescent="0.25">
      <c r="C58" s="5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5"/>
    </row>
    <row r="63" spans="3:3" x14ac:dyDescent="0.25">
      <c r="C63" s="5"/>
    </row>
  </sheetData>
  <mergeCells count="8">
    <mergeCell ref="A2:Q2"/>
    <mergeCell ref="A3:A4"/>
    <mergeCell ref="B3:B4"/>
    <mergeCell ref="C3:C4"/>
    <mergeCell ref="Q3:Q4"/>
    <mergeCell ref="E3:H3"/>
    <mergeCell ref="J3:L3"/>
    <mergeCell ref="M3:P3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библиотеки</vt:lpstr>
      <vt:lpstr>библиотеки!_GoBack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2019-01-30T05:51:26Z</dcterms:modified>
</cp:coreProperties>
</file>