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<sst xmlns="http://schemas.openxmlformats.org/spreadsheetml/2006/main" count="611" uniqueCount="227">
  <si>
    <t>ОТЧЕТ ОБ ИСПОЛНЕНИИ БЮДЖЕТА</t>
  </si>
  <si>
    <t>КОДЫ</t>
  </si>
  <si>
    <t xml:space="preserve">Форма по ОКУД </t>
  </si>
  <si>
    <t>0503117</t>
  </si>
  <si>
    <t>на 1 сентября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</si>
  <si>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</si>
  <si>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</si>
  <si>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</si>
  <si>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</si>
  <si>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</si>
  <si>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</si>
  <si>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</si>
  <si>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</si>
  <si>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</si>
  <si>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</si>
  <si>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</si>
  <si>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</si>
  <si>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</si>
  <si>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</si>
  <si>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</si>
  <si>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</si>
  <si>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</si>
  <si>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</si>
  <si>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</si>
  <si>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</si>
  <si>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</si>
  <si>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</si>
  <si>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</si>
  <si>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</si>
  <si>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</si>
  <si>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</si>
  <si>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</si>
  <si>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</si>
  <si>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</si>
  <si>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</si>
  <si>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</si>
  <si>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</si>
  <si>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</si>
  <si>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</si>
  <si>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</si>
  <si>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</si>
  <si>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</si>
  <si>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</si>
  <si>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</si>
  <si>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</si>
  <si>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</si>
  <si>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</si>
  <si>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</si>
  <si>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</si>
  <si>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</si>
  <si>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</si>
  <si>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</si>
  <si>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</si>
  <si>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</si>
  <si>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</si>
  <si>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</si>
  <si>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</si>
  <si>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</si>
  <si>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</si>
  <si>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</si>
  <si>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</si>
  <si>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</si>
  <si>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</si>
  <si>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</si>
  <si>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</si>
  <si>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</si>
  <si>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</si>
  <si>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</si>
  <si>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</si>
  <si>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</si>
  <si>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</si>
  <si>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</si>
  <si>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</si>
  <si>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</si>
  <si>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</si>
  <si>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</si>
  <si>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</si>
  <si>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</si>
  <si>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</si>
  <si>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</si>
  <si>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</si>
  <si>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</si>
  <si>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</si>
  <si>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</si>
  <si>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</si>
  <si>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</si>
  <si>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</si>
  <si>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</si>
  <si>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</si>
  <si>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</si>
  <si>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</si>
  <si>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</si>
  <si>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</si>
  <si>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</si>
  <si>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</si>
  <si>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</si>
  <si>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</si>
  <si>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</si>
  <si>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</si>
  <si>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</si>
  <si>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</si>
  <si>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</si>
  <si>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</si>
  <si>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</si>
  <si>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</si>
  <si>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</si>
  <si>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</si>
  <si>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</si>
  <si>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</si>
  <si>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</si>
  <si>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</si>
  <si>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</si>
  <si>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</si>
  <si>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</si>
  <si>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</si>
  <si>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</si>
  <si>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Иные выплаты текущего характера организациям</t>
  </si>
  <si>
    <t>297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</si>
  <si>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</si>
  <si>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</si>
  <si>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</si>
  <si>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</si>
  <si>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</si>
  <si>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</si>
  <si>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</si>
  <si>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</si>
  <si>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</si>
  <si>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</si>
  <si>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</si>
  <si>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</si>
  <si>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</si>
  <si>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</si>
  <si>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</si>
  <si>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</si>
  <si>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</si>
  <si>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</si>
  <si>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</si>
  <si>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</si>
  <si>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</si>
  <si>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</si>
  <si>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</si>
  <si>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</si>
  <si>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</si>
  <si>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</si>
  <si>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</si>
  <si>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</si>
  <si>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</si>
  <si>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</si>
  <si>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</si>
  <si>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</si>
  <si>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</si>
  <si>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</si>
  <si>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</si>
  <si>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</si>
  <si>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</si>
  <si>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</si>
  <si>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650 0401 0300170145 111</t>
  </si>
  <si>
    <t>650 0401 0300170145 119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</si>
  <si>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</si>
  <si>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</si>
  <si>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</si>
  <si>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</si>
  <si>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</si>
  <si>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</si>
  <si>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</si>
  <si>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</si>
  <si>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650 0401 1000186020 111</t>
  </si>
  <si>
    <t>650 0401 1000186020 119</t>
  </si>
  <si>
    <t>650 0405 6000084200 121</t>
  </si>
  <si>
    <t>650 0405 6000084200 129</t>
  </si>
  <si>
    <t>650 0405 6000084200 244</t>
  </si>
  <si>
    <t>650 0409 0400120604 244</t>
  </si>
  <si>
    <t>Увеличение стоимости основных средств</t>
  </si>
  <si>
    <t>310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</si>
  <si>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</si>
  <si>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</si>
  <si>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</si>
  <si>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</si>
  <si>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</si>
  <si>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</si>
  <si>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650 0503 0500195550 540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</si>
  <si>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</si>
  <si>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</si>
  <si>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</si>
  <si>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</si>
  <si>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</si>
  <si>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</si>
  <si>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</si>
  <si>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</si>
  <si>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</si>
  <si>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</si>
  <si>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</si>
  <si>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</si>
  <si>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</si>
  <si>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</si>
  <si>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</si>
  <si>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</si>
  <si>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650 0801 0300170050 244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</si>
  <si>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</si>
  <si>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</si>
  <si>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</si>
  <si>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</si>
  <si>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</si>
  <si>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</si>
  <si>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650 1102 1000100040 244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</si>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</sst>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45170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75521414.71</f>
        <v>75521414.71</v>
      </c>
      <c r="M12" s="21"/>
      <c r="N12" s="21">
        <f>52464084.36</f>
        <v>52464084.36</v>
      </c>
      <c r="O12" s="21"/>
      <c r="P12" s="21"/>
      <c r="Q12" s="21"/>
      <c r="R12" s="21"/>
      <c r="S12" s="22">
        <f>23057330.35</f>
        <v>23057330.35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11702941.75</f>
        <v>11702941.75</v>
      </c>
      <c r="O17" s="25"/>
      <c r="P17" s="25"/>
      <c r="Q17" s="25"/>
      <c r="R17" s="25"/>
      <c r="S17" s="28">
        <f>377058.25</f>
        <v>377058.25</v>
      </c>
      <c r="T17" s="28"/>
      <c r="U17" s="28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-1199.05</f>
        <v>-1199.05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2678.8</f>
        <v>2678.8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3011000</f>
        <v>3011000</v>
      </c>
      <c r="M20" s="25"/>
      <c r="N20" s="25">
        <f>2427361.5</f>
        <v>2427361.5</v>
      </c>
      <c r="O20" s="25"/>
      <c r="P20" s="25"/>
      <c r="Q20" s="25"/>
      <c r="R20" s="25"/>
      <c r="S20" s="28">
        <f>583638.5</f>
        <v>583638.5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20900</f>
        <v>20900</v>
      </c>
      <c r="M21" s="25"/>
      <c r="N21" s="25">
        <f>12922.46</f>
        <v>12922.46</v>
      </c>
      <c r="O21" s="25"/>
      <c r="P21" s="25"/>
      <c r="Q21" s="25"/>
      <c r="R21" s="25"/>
      <c r="S21" s="28">
        <f>7977.54</f>
        <v>7977.54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3722200</f>
        <v>3722200</v>
      </c>
      <c r="M22" s="25"/>
      <c r="N22" s="25">
        <f>2574380.77</f>
        <v>2574380.77</v>
      </c>
      <c r="O22" s="25"/>
      <c r="P22" s="25"/>
      <c r="Q22" s="25"/>
      <c r="R22" s="25"/>
      <c r="S22" s="28">
        <f>1147819.23</f>
        <v>1147819.23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-397100</f>
        <v>-397100</v>
      </c>
      <c r="M23" s="25"/>
      <c r="N23" s="25">
        <f>-284417.76</f>
        <v>-284417.76</v>
      </c>
      <c r="O23" s="25"/>
      <c r="P23" s="25"/>
      <c r="Q23" s="25"/>
      <c r="R23" s="25"/>
      <c r="S23" s="28">
        <f>-112682.24</f>
        <v>-112682.24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7319.42</f>
        <v>7319.42</v>
      </c>
      <c r="O24" s="25"/>
      <c r="P24" s="25"/>
      <c r="Q24" s="25"/>
      <c r="R24" s="25"/>
      <c r="S24" s="28">
        <f>295680.58</f>
        <v>295680.58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3596.55</f>
        <v>3596.55</v>
      </c>
      <c r="O25" s="25"/>
      <c r="P25" s="25"/>
      <c r="Q25" s="25"/>
      <c r="R25" s="25"/>
      <c r="S25" s="28">
        <f>4403.45</f>
        <v>4403.45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-1794.94</f>
        <v>-1794.94</v>
      </c>
      <c r="O26" s="25"/>
      <c r="P26" s="25"/>
      <c r="Q26" s="25"/>
      <c r="R26" s="25"/>
      <c r="S26" s="28">
        <f>49794.94</f>
        <v>49794.94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5">
        <f>36293.15</f>
        <v>36293.15</v>
      </c>
      <c r="O27" s="25"/>
      <c r="P27" s="25"/>
      <c r="Q27" s="25"/>
      <c r="R27" s="25"/>
      <c r="S27" s="28">
        <f>63706.85</f>
        <v>63706.85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6674.48</f>
        <v>6674.48</v>
      </c>
      <c r="O28" s="25"/>
      <c r="P28" s="25"/>
      <c r="Q28" s="25"/>
      <c r="R28" s="25"/>
      <c r="S28" s="28">
        <f>84325.52</f>
        <v>84325.52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28150</f>
        <v>28150</v>
      </c>
      <c r="O29" s="25"/>
      <c r="P29" s="25"/>
      <c r="Q29" s="25"/>
      <c r="R29" s="25"/>
      <c r="S29" s="28">
        <f>21850</f>
        <v>21850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170218.15</f>
        <v>170218.15</v>
      </c>
      <c r="O30" s="25"/>
      <c r="P30" s="25"/>
      <c r="Q30" s="25"/>
      <c r="R30" s="25"/>
      <c r="S30" s="28">
        <f>293581.85</f>
        <v>293581.85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561285.65</f>
        <v>561285.65</v>
      </c>
      <c r="O31" s="25"/>
      <c r="P31" s="25"/>
      <c r="Q31" s="25"/>
      <c r="R31" s="25"/>
      <c r="S31" s="28">
        <f>60314.35</f>
        <v>60314.35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268800</f>
        <v>268800</v>
      </c>
      <c r="O32" s="25"/>
      <c r="P32" s="25"/>
      <c r="Q32" s="25"/>
      <c r="R32" s="25"/>
      <c r="S32" s="28">
        <f>106600</f>
        <v>106600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314834.29</f>
        <v>314834.29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14464170.01</f>
        <v>14464170.01</v>
      </c>
      <c r="O35" s="25"/>
      <c r="P35" s="25"/>
      <c r="Q35" s="25"/>
      <c r="R35" s="25"/>
      <c r="S35" s="28">
        <f>6600429.99</f>
        <v>6600429.99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6" t="s">
        <v>39</v>
      </c>
      <c r="O36" s="26"/>
      <c r="P36" s="26"/>
      <c r="Q36" s="26"/>
      <c r="R36" s="26"/>
      <c r="S36" s="28">
        <f>1561.59</f>
        <v>1561.59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222975</f>
        <v>222975</v>
      </c>
      <c r="O37" s="25"/>
      <c r="P37" s="25"/>
      <c r="Q37" s="25"/>
      <c r="R37" s="25"/>
      <c r="S37" s="28">
        <f>74325</f>
        <v>74325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124179.55</f>
        <v>124179.55</v>
      </c>
      <c r="M38" s="25"/>
      <c r="N38" s="25">
        <f>65290.17</f>
        <v>65290.17</v>
      </c>
      <c r="O38" s="25"/>
      <c r="P38" s="25"/>
      <c r="Q38" s="25"/>
      <c r="R38" s="25"/>
      <c r="S38" s="28">
        <f>58889.38</f>
        <v>58889.38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33535973.57</f>
        <v>33535973.57</v>
      </c>
      <c r="M39" s="25"/>
      <c r="N39" s="25">
        <f>19881613.96</f>
        <v>19881613.96</v>
      </c>
      <c r="O39" s="25"/>
      <c r="P39" s="25"/>
      <c r="Q39" s="25"/>
      <c r="R39" s="25"/>
      <c r="S39" s="28">
        <f>13654359.61</f>
        <v>13654359.61</v>
      </c>
      <c r="T39" s="28"/>
      <c r="U39" s="28"/>
    </row>
    <row r="40" spans="1:21" s="1" customFormat="1" ht="54.75" customHeight="1">
      <c r="A40" s="23" t="s">
        <v>88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89</v>
      </c>
      <c r="K40" s="24"/>
      <c r="L40" s="26" t="s">
        <v>39</v>
      </c>
      <c r="M40" s="26"/>
      <c r="N40" s="25">
        <f>0</f>
        <v>0</v>
      </c>
      <c r="O40" s="25"/>
      <c r="P40" s="25"/>
      <c r="Q40" s="25"/>
      <c r="R40" s="25"/>
      <c r="S40" s="27" t="s">
        <v>39</v>
      </c>
      <c r="T40" s="27"/>
      <c r="U40" s="27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91</v>
      </c>
      <c r="J43" s="13"/>
      <c r="K43" s="14" t="s">
        <v>92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93</v>
      </c>
      <c r="U44" s="18"/>
    </row>
    <row r="45" spans="1:21" s="1" customFormat="1" ht="13.5" customHeight="1">
      <c r="A45" s="19" t="s">
        <v>94</v>
      </c>
      <c r="B45" s="19"/>
      <c r="C45" s="19"/>
      <c r="D45" s="19"/>
      <c r="E45" s="19"/>
      <c r="F45" s="19"/>
      <c r="G45" s="20" t="s">
        <v>95</v>
      </c>
      <c r="H45" s="20"/>
      <c r="I45" s="20" t="s">
        <v>36</v>
      </c>
      <c r="J45" s="20"/>
      <c r="K45" s="30" t="s">
        <v>36</v>
      </c>
      <c r="L45" s="30"/>
      <c r="M45" s="21">
        <f>81150329.94</f>
        <v>81150329.94</v>
      </c>
      <c r="N45" s="21"/>
      <c r="O45" s="21">
        <f>55323912.74</f>
        <v>55323912.74</v>
      </c>
      <c r="P45" s="21"/>
      <c r="Q45" s="21"/>
      <c r="R45" s="21"/>
      <c r="S45" s="21"/>
      <c r="T45" s="22">
        <f>25826417.2</f>
        <v>25826417.2</v>
      </c>
      <c r="U45" s="22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97</v>
      </c>
      <c r="J46" s="32"/>
      <c r="K46" s="33" t="s">
        <v>98</v>
      </c>
      <c r="L46" s="33"/>
      <c r="M46" s="34">
        <f>1217651.57</f>
        <v>1217651.57</v>
      </c>
      <c r="N46" s="34"/>
      <c r="O46" s="34">
        <f>1042378</f>
        <v>1042378</v>
      </c>
      <c r="P46" s="34"/>
      <c r="Q46" s="34"/>
      <c r="R46" s="34"/>
      <c r="S46" s="34"/>
      <c r="T46" s="35">
        <f>175273.57</f>
        <v>175273.57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100</v>
      </c>
      <c r="J47" s="32"/>
      <c r="K47" s="33" t="s">
        <v>101</v>
      </c>
      <c r="L47" s="33"/>
      <c r="M47" s="34">
        <f>368428.04</f>
        <v>368428.04</v>
      </c>
      <c r="N47" s="34"/>
      <c r="O47" s="34">
        <f>301994.63</f>
        <v>301994.63</v>
      </c>
      <c r="P47" s="34"/>
      <c r="Q47" s="34"/>
      <c r="R47" s="34"/>
      <c r="S47" s="34"/>
      <c r="T47" s="35">
        <f>66433.41</f>
        <v>66433.41</v>
      </c>
      <c r="U47" s="35"/>
    </row>
    <row r="48" spans="1:21" s="1" customFormat="1" ht="13.5" customHeight="1">
      <c r="A48" s="31" t="s">
        <v>102</v>
      </c>
      <c r="B48" s="31"/>
      <c r="C48" s="31"/>
      <c r="D48" s="31"/>
      <c r="E48" s="31"/>
      <c r="F48" s="31"/>
      <c r="G48" s="32" t="s">
        <v>95</v>
      </c>
      <c r="H48" s="32"/>
      <c r="I48" s="32" t="s">
        <v>103</v>
      </c>
      <c r="J48" s="32"/>
      <c r="K48" s="33" t="s">
        <v>104</v>
      </c>
      <c r="L48" s="33"/>
      <c r="M48" s="34">
        <f>12549</f>
        <v>12549</v>
      </c>
      <c r="N48" s="34"/>
      <c r="O48" s="34">
        <f>11049</f>
        <v>11049</v>
      </c>
      <c r="P48" s="34"/>
      <c r="Q48" s="34"/>
      <c r="R48" s="34"/>
      <c r="S48" s="34"/>
      <c r="T48" s="35">
        <f>1500</f>
        <v>1500</v>
      </c>
      <c r="U48" s="35"/>
    </row>
    <row r="49" spans="1:21" s="1" customFormat="1" ht="13.5" customHeight="1">
      <c r="A49" s="31" t="s">
        <v>96</v>
      </c>
      <c r="B49" s="31"/>
      <c r="C49" s="31"/>
      <c r="D49" s="31"/>
      <c r="E49" s="31"/>
      <c r="F49" s="31"/>
      <c r="G49" s="32" t="s">
        <v>95</v>
      </c>
      <c r="H49" s="32"/>
      <c r="I49" s="32" t="s">
        <v>105</v>
      </c>
      <c r="J49" s="32"/>
      <c r="K49" s="33" t="s">
        <v>98</v>
      </c>
      <c r="L49" s="33"/>
      <c r="M49" s="34">
        <f>6820841.78</f>
        <v>6820841.78</v>
      </c>
      <c r="N49" s="34"/>
      <c r="O49" s="34">
        <f>5694381.14</f>
        <v>5694381.14</v>
      </c>
      <c r="P49" s="34"/>
      <c r="Q49" s="34"/>
      <c r="R49" s="34"/>
      <c r="S49" s="34"/>
      <c r="T49" s="35">
        <f>1126460.64</f>
        <v>1126460.64</v>
      </c>
      <c r="U49" s="35"/>
    </row>
    <row r="50" spans="1:21" s="1" customFormat="1" ht="13.5" customHeight="1">
      <c r="A50" s="31" t="s">
        <v>106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108</v>
      </c>
      <c r="L50" s="33"/>
      <c r="M50" s="34">
        <f>7000</f>
        <v>7000</v>
      </c>
      <c r="N50" s="34"/>
      <c r="O50" s="34">
        <f>3000</f>
        <v>3000</v>
      </c>
      <c r="P50" s="34"/>
      <c r="Q50" s="34"/>
      <c r="R50" s="34"/>
      <c r="S50" s="34"/>
      <c r="T50" s="35">
        <f>4000</f>
        <v>4000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95</v>
      </c>
      <c r="H51" s="32"/>
      <c r="I51" s="32" t="s">
        <v>107</v>
      </c>
      <c r="J51" s="32"/>
      <c r="K51" s="33" t="s">
        <v>104</v>
      </c>
      <c r="L51" s="33"/>
      <c r="M51" s="34">
        <f>30000</f>
        <v>30000</v>
      </c>
      <c r="N51" s="34"/>
      <c r="O51" s="34">
        <f>22596</f>
        <v>22596</v>
      </c>
      <c r="P51" s="34"/>
      <c r="Q51" s="34"/>
      <c r="R51" s="34"/>
      <c r="S51" s="34"/>
      <c r="T51" s="35">
        <f>7404</f>
        <v>7404</v>
      </c>
      <c r="U51" s="35"/>
    </row>
    <row r="52" spans="1:21" s="1" customFormat="1" ht="13.5" customHeight="1">
      <c r="A52" s="31" t="s">
        <v>99</v>
      </c>
      <c r="B52" s="31"/>
      <c r="C52" s="31"/>
      <c r="D52" s="31"/>
      <c r="E52" s="31"/>
      <c r="F52" s="31"/>
      <c r="G52" s="32" t="s">
        <v>95</v>
      </c>
      <c r="H52" s="32"/>
      <c r="I52" s="32" t="s">
        <v>109</v>
      </c>
      <c r="J52" s="32"/>
      <c r="K52" s="33" t="s">
        <v>101</v>
      </c>
      <c r="L52" s="33"/>
      <c r="M52" s="34">
        <f>1888318.93</f>
        <v>1888318.93</v>
      </c>
      <c r="N52" s="34"/>
      <c r="O52" s="34">
        <f>1550740.6</f>
        <v>1550740.6</v>
      </c>
      <c r="P52" s="34"/>
      <c r="Q52" s="34"/>
      <c r="R52" s="34"/>
      <c r="S52" s="34"/>
      <c r="T52" s="35">
        <f>337578.33</f>
        <v>337578.33</v>
      </c>
      <c r="U52" s="35"/>
    </row>
    <row r="53" spans="1:21" s="1" customFormat="1" ht="24" customHeight="1">
      <c r="A53" s="31" t="s">
        <v>110</v>
      </c>
      <c r="B53" s="31"/>
      <c r="C53" s="31"/>
      <c r="D53" s="31"/>
      <c r="E53" s="31"/>
      <c r="F53" s="31"/>
      <c r="G53" s="32" t="s">
        <v>95</v>
      </c>
      <c r="H53" s="32"/>
      <c r="I53" s="32" t="s">
        <v>111</v>
      </c>
      <c r="J53" s="32"/>
      <c r="K53" s="33" t="s">
        <v>112</v>
      </c>
      <c r="L53" s="33"/>
      <c r="M53" s="34">
        <f>293626</f>
        <v>293626</v>
      </c>
      <c r="N53" s="34"/>
      <c r="O53" s="36" t="s">
        <v>39</v>
      </c>
      <c r="P53" s="36"/>
      <c r="Q53" s="36"/>
      <c r="R53" s="36"/>
      <c r="S53" s="36"/>
      <c r="T53" s="35">
        <f>293626</f>
        <v>293626</v>
      </c>
      <c r="U53" s="35"/>
    </row>
    <row r="54" spans="1:21" s="1" customFormat="1" ht="13.5" customHeight="1">
      <c r="A54" s="31" t="s">
        <v>113</v>
      </c>
      <c r="B54" s="31"/>
      <c r="C54" s="31"/>
      <c r="D54" s="31"/>
      <c r="E54" s="31"/>
      <c r="F54" s="31"/>
      <c r="G54" s="32" t="s">
        <v>95</v>
      </c>
      <c r="H54" s="32"/>
      <c r="I54" s="32" t="s">
        <v>114</v>
      </c>
      <c r="J54" s="32"/>
      <c r="K54" s="33" t="s">
        <v>115</v>
      </c>
      <c r="L54" s="33"/>
      <c r="M54" s="34">
        <f>0</f>
        <v>0</v>
      </c>
      <c r="N54" s="34"/>
      <c r="O54" s="36" t="s">
        <v>39</v>
      </c>
      <c r="P54" s="36"/>
      <c r="Q54" s="36"/>
      <c r="R54" s="36"/>
      <c r="S54" s="36"/>
      <c r="T54" s="37" t="s">
        <v>39</v>
      </c>
      <c r="U54" s="37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95</v>
      </c>
      <c r="H55" s="32"/>
      <c r="I55" s="32" t="s">
        <v>114</v>
      </c>
      <c r="J55" s="32"/>
      <c r="K55" s="33" t="s">
        <v>117</v>
      </c>
      <c r="L55" s="33"/>
      <c r="M55" s="34">
        <f>554011</f>
        <v>554011</v>
      </c>
      <c r="N55" s="34"/>
      <c r="O55" s="34">
        <f>554011</f>
        <v>554011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118</v>
      </c>
      <c r="B56" s="31"/>
      <c r="C56" s="31"/>
      <c r="D56" s="31"/>
      <c r="E56" s="31"/>
      <c r="F56" s="31"/>
      <c r="G56" s="32" t="s">
        <v>95</v>
      </c>
      <c r="H56" s="32"/>
      <c r="I56" s="32" t="s">
        <v>119</v>
      </c>
      <c r="J56" s="32"/>
      <c r="K56" s="33" t="s">
        <v>95</v>
      </c>
      <c r="L56" s="33"/>
      <c r="M56" s="34">
        <f>74129</f>
        <v>74129</v>
      </c>
      <c r="N56" s="34"/>
      <c r="O56" s="36" t="s">
        <v>39</v>
      </c>
      <c r="P56" s="36"/>
      <c r="Q56" s="36"/>
      <c r="R56" s="36"/>
      <c r="S56" s="36"/>
      <c r="T56" s="35">
        <f>74129</f>
        <v>74129</v>
      </c>
      <c r="U56" s="35"/>
    </row>
    <row r="57" spans="1:21" s="1" customFormat="1" ht="13.5" customHeight="1">
      <c r="A57" s="31" t="s">
        <v>102</v>
      </c>
      <c r="B57" s="31"/>
      <c r="C57" s="31"/>
      <c r="D57" s="31"/>
      <c r="E57" s="31"/>
      <c r="F57" s="31"/>
      <c r="G57" s="32" t="s">
        <v>95</v>
      </c>
      <c r="H57" s="32"/>
      <c r="I57" s="32" t="s">
        <v>120</v>
      </c>
      <c r="J57" s="32"/>
      <c r="K57" s="33" t="s">
        <v>104</v>
      </c>
      <c r="L57" s="33"/>
      <c r="M57" s="34">
        <f>25000</f>
        <v>25000</v>
      </c>
      <c r="N57" s="34"/>
      <c r="O57" s="34">
        <f>4800</f>
        <v>4800</v>
      </c>
      <c r="P57" s="34"/>
      <c r="Q57" s="34"/>
      <c r="R57" s="34"/>
      <c r="S57" s="34"/>
      <c r="T57" s="35">
        <f>20200</f>
        <v>20200</v>
      </c>
      <c r="U57" s="35"/>
    </row>
    <row r="58" spans="1:21" s="1" customFormat="1" ht="13.5" customHeight="1">
      <c r="A58" s="31" t="s">
        <v>96</v>
      </c>
      <c r="B58" s="31"/>
      <c r="C58" s="31"/>
      <c r="D58" s="31"/>
      <c r="E58" s="31"/>
      <c r="F58" s="31"/>
      <c r="G58" s="32" t="s">
        <v>95</v>
      </c>
      <c r="H58" s="32"/>
      <c r="I58" s="32" t="s">
        <v>121</v>
      </c>
      <c r="J58" s="32"/>
      <c r="K58" s="33" t="s">
        <v>98</v>
      </c>
      <c r="L58" s="33"/>
      <c r="M58" s="34">
        <f>8030128.27</f>
        <v>8030128.27</v>
      </c>
      <c r="N58" s="34"/>
      <c r="O58" s="34">
        <f>6253398.47</f>
        <v>6253398.47</v>
      </c>
      <c r="P58" s="34"/>
      <c r="Q58" s="34"/>
      <c r="R58" s="34"/>
      <c r="S58" s="34"/>
      <c r="T58" s="35">
        <f>1776729.8</f>
        <v>1776729.8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95</v>
      </c>
      <c r="H59" s="32"/>
      <c r="I59" s="32" t="s">
        <v>121</v>
      </c>
      <c r="J59" s="32"/>
      <c r="K59" s="33" t="s">
        <v>123</v>
      </c>
      <c r="L59" s="33"/>
      <c r="M59" s="34">
        <f>40000</f>
        <v>40000</v>
      </c>
      <c r="N59" s="34"/>
      <c r="O59" s="34">
        <f>16013.81</f>
        <v>16013.81</v>
      </c>
      <c r="P59" s="34"/>
      <c r="Q59" s="34"/>
      <c r="R59" s="34"/>
      <c r="S59" s="34"/>
      <c r="T59" s="35">
        <f>23986.19</f>
        <v>23986.19</v>
      </c>
      <c r="U59" s="35"/>
    </row>
    <row r="60" spans="1:21" s="1" customFormat="1" ht="13.5" customHeight="1">
      <c r="A60" s="31" t="s">
        <v>99</v>
      </c>
      <c r="B60" s="31"/>
      <c r="C60" s="31"/>
      <c r="D60" s="31"/>
      <c r="E60" s="31"/>
      <c r="F60" s="31"/>
      <c r="G60" s="32" t="s">
        <v>95</v>
      </c>
      <c r="H60" s="32"/>
      <c r="I60" s="32" t="s">
        <v>124</v>
      </c>
      <c r="J60" s="32"/>
      <c r="K60" s="33" t="s">
        <v>101</v>
      </c>
      <c r="L60" s="33"/>
      <c r="M60" s="34">
        <f>2425098.74</f>
        <v>2425098.74</v>
      </c>
      <c r="N60" s="34"/>
      <c r="O60" s="34">
        <f>1681696.43</f>
        <v>1681696.43</v>
      </c>
      <c r="P60" s="34"/>
      <c r="Q60" s="34"/>
      <c r="R60" s="34"/>
      <c r="S60" s="34"/>
      <c r="T60" s="35">
        <f>743402.31</f>
        <v>743402.31</v>
      </c>
      <c r="U60" s="35"/>
    </row>
    <row r="61" spans="1:21" s="1" customFormat="1" ht="13.5" customHeight="1">
      <c r="A61" s="31" t="s">
        <v>102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104</v>
      </c>
      <c r="L61" s="33"/>
      <c r="M61" s="34">
        <f>57600</f>
        <v>57600</v>
      </c>
      <c r="N61" s="34"/>
      <c r="O61" s="34">
        <f>33600</f>
        <v>33600</v>
      </c>
      <c r="P61" s="34"/>
      <c r="Q61" s="34"/>
      <c r="R61" s="34"/>
      <c r="S61" s="34"/>
      <c r="T61" s="35">
        <f>24000</f>
        <v>24000</v>
      </c>
      <c r="U61" s="35"/>
    </row>
    <row r="62" spans="1:21" s="1" customFormat="1" ht="13.5" customHeight="1">
      <c r="A62" s="31" t="s">
        <v>126</v>
      </c>
      <c r="B62" s="31"/>
      <c r="C62" s="31"/>
      <c r="D62" s="31"/>
      <c r="E62" s="31"/>
      <c r="F62" s="31"/>
      <c r="G62" s="32" t="s">
        <v>95</v>
      </c>
      <c r="H62" s="32"/>
      <c r="I62" s="32" t="s">
        <v>127</v>
      </c>
      <c r="J62" s="32"/>
      <c r="K62" s="33" t="s">
        <v>128</v>
      </c>
      <c r="L62" s="33"/>
      <c r="M62" s="34">
        <f>10000</f>
        <v>10000</v>
      </c>
      <c r="N62" s="34"/>
      <c r="O62" s="34">
        <f>10000</f>
        <v>10000</v>
      </c>
      <c r="P62" s="34"/>
      <c r="Q62" s="34"/>
      <c r="R62" s="34"/>
      <c r="S62" s="34"/>
      <c r="T62" s="35">
        <f>0</f>
        <v>0</v>
      </c>
      <c r="U62" s="35"/>
    </row>
    <row r="63" spans="1:21" s="1" customFormat="1" ht="13.5" customHeight="1">
      <c r="A63" s="31" t="s">
        <v>102</v>
      </c>
      <c r="B63" s="31"/>
      <c r="C63" s="31"/>
      <c r="D63" s="31"/>
      <c r="E63" s="31"/>
      <c r="F63" s="31"/>
      <c r="G63" s="32" t="s">
        <v>95</v>
      </c>
      <c r="H63" s="32"/>
      <c r="I63" s="32" t="s">
        <v>127</v>
      </c>
      <c r="J63" s="32"/>
      <c r="K63" s="33" t="s">
        <v>104</v>
      </c>
      <c r="L63" s="33"/>
      <c r="M63" s="34">
        <f>1603200</f>
        <v>1603200</v>
      </c>
      <c r="N63" s="34"/>
      <c r="O63" s="34">
        <f>955680</f>
        <v>955680</v>
      </c>
      <c r="P63" s="34"/>
      <c r="Q63" s="34"/>
      <c r="R63" s="34"/>
      <c r="S63" s="34"/>
      <c r="T63" s="35">
        <f>647520</f>
        <v>647520</v>
      </c>
      <c r="U63" s="35"/>
    </row>
    <row r="64" spans="1:21" s="1" customFormat="1" ht="13.5" customHeight="1">
      <c r="A64" s="31" t="s">
        <v>129</v>
      </c>
      <c r="B64" s="31"/>
      <c r="C64" s="31"/>
      <c r="D64" s="31"/>
      <c r="E64" s="31"/>
      <c r="F64" s="31"/>
      <c r="G64" s="32" t="s">
        <v>95</v>
      </c>
      <c r="H64" s="32"/>
      <c r="I64" s="32" t="s">
        <v>127</v>
      </c>
      <c r="J64" s="32"/>
      <c r="K64" s="33" t="s">
        <v>130</v>
      </c>
      <c r="L64" s="33"/>
      <c r="M64" s="34">
        <f>12000</f>
        <v>12000</v>
      </c>
      <c r="N64" s="34"/>
      <c r="O64" s="36" t="s">
        <v>39</v>
      </c>
      <c r="P64" s="36"/>
      <c r="Q64" s="36"/>
      <c r="R64" s="36"/>
      <c r="S64" s="36"/>
      <c r="T64" s="35">
        <f>12000</f>
        <v>12000</v>
      </c>
      <c r="U64" s="35"/>
    </row>
    <row r="65" spans="1:21" s="1" customFormat="1" ht="13.5" customHeight="1">
      <c r="A65" s="31" t="s">
        <v>131</v>
      </c>
      <c r="B65" s="31"/>
      <c r="C65" s="31"/>
      <c r="D65" s="31"/>
      <c r="E65" s="31"/>
      <c r="F65" s="31"/>
      <c r="G65" s="32" t="s">
        <v>95</v>
      </c>
      <c r="H65" s="32"/>
      <c r="I65" s="32" t="s">
        <v>127</v>
      </c>
      <c r="J65" s="32"/>
      <c r="K65" s="33" t="s">
        <v>132</v>
      </c>
      <c r="L65" s="33"/>
      <c r="M65" s="34">
        <f>170000</f>
        <v>170000</v>
      </c>
      <c r="N65" s="34"/>
      <c r="O65" s="34">
        <f>102441.64</f>
        <v>102441.64</v>
      </c>
      <c r="P65" s="34"/>
      <c r="Q65" s="34"/>
      <c r="R65" s="34"/>
      <c r="S65" s="34"/>
      <c r="T65" s="35">
        <f>67558.36</f>
        <v>67558.36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95</v>
      </c>
      <c r="H66" s="32"/>
      <c r="I66" s="32" t="s">
        <v>127</v>
      </c>
      <c r="J66" s="32"/>
      <c r="K66" s="33" t="s">
        <v>134</v>
      </c>
      <c r="L66" s="33"/>
      <c r="M66" s="34">
        <f>130000</f>
        <v>130000</v>
      </c>
      <c r="N66" s="34"/>
      <c r="O66" s="34">
        <f>107448.4</f>
        <v>107448.4</v>
      </c>
      <c r="P66" s="34"/>
      <c r="Q66" s="34"/>
      <c r="R66" s="34"/>
      <c r="S66" s="34"/>
      <c r="T66" s="35">
        <f>22551.6</f>
        <v>22551.6</v>
      </c>
      <c r="U66" s="35"/>
    </row>
    <row r="67" spans="1:21" s="1" customFormat="1" ht="13.5" customHeight="1">
      <c r="A67" s="31" t="s">
        <v>135</v>
      </c>
      <c r="B67" s="31"/>
      <c r="C67" s="31"/>
      <c r="D67" s="31"/>
      <c r="E67" s="31"/>
      <c r="F67" s="31"/>
      <c r="G67" s="32" t="s">
        <v>95</v>
      </c>
      <c r="H67" s="32"/>
      <c r="I67" s="32" t="s">
        <v>136</v>
      </c>
      <c r="J67" s="32"/>
      <c r="K67" s="33" t="s">
        <v>137</v>
      </c>
      <c r="L67" s="33"/>
      <c r="M67" s="34">
        <f>10000</f>
        <v>10000</v>
      </c>
      <c r="N67" s="34"/>
      <c r="O67" s="34">
        <f>7107.5</f>
        <v>7107.5</v>
      </c>
      <c r="P67" s="34"/>
      <c r="Q67" s="34"/>
      <c r="R67" s="34"/>
      <c r="S67" s="34"/>
      <c r="T67" s="35">
        <f>2892.5</f>
        <v>2892.5</v>
      </c>
      <c r="U67" s="35"/>
    </row>
    <row r="68" spans="1:21" s="1" customFormat="1" ht="13.5" customHeight="1">
      <c r="A68" s="31" t="s">
        <v>138</v>
      </c>
      <c r="B68" s="31"/>
      <c r="C68" s="31"/>
      <c r="D68" s="31"/>
      <c r="E68" s="31"/>
      <c r="F68" s="31"/>
      <c r="G68" s="32" t="s">
        <v>95</v>
      </c>
      <c r="H68" s="32"/>
      <c r="I68" s="32" t="s">
        <v>139</v>
      </c>
      <c r="J68" s="32"/>
      <c r="K68" s="33" t="s">
        <v>140</v>
      </c>
      <c r="L68" s="33"/>
      <c r="M68" s="34">
        <f>15500</f>
        <v>15500</v>
      </c>
      <c r="N68" s="34"/>
      <c r="O68" s="34">
        <f>8163.85</f>
        <v>8163.85</v>
      </c>
      <c r="P68" s="34"/>
      <c r="Q68" s="34"/>
      <c r="R68" s="34"/>
      <c r="S68" s="34"/>
      <c r="T68" s="35">
        <f>7336.15</f>
        <v>7336.15</v>
      </c>
      <c r="U68" s="35"/>
    </row>
    <row r="69" spans="1:21" s="1" customFormat="1" ht="13.5" customHeight="1">
      <c r="A69" s="31" t="s">
        <v>141</v>
      </c>
      <c r="B69" s="31"/>
      <c r="C69" s="31"/>
      <c r="D69" s="31"/>
      <c r="E69" s="31"/>
      <c r="F69" s="31"/>
      <c r="G69" s="32" t="s">
        <v>95</v>
      </c>
      <c r="H69" s="32"/>
      <c r="I69" s="32" t="s">
        <v>139</v>
      </c>
      <c r="J69" s="32"/>
      <c r="K69" s="33" t="s">
        <v>142</v>
      </c>
      <c r="L69" s="33"/>
      <c r="M69" s="34">
        <f>67200</f>
        <v>67200</v>
      </c>
      <c r="N69" s="34"/>
      <c r="O69" s="36" t="s">
        <v>39</v>
      </c>
      <c r="P69" s="36"/>
      <c r="Q69" s="36"/>
      <c r="R69" s="36"/>
      <c r="S69" s="36"/>
      <c r="T69" s="35">
        <f>67200</f>
        <v>67200</v>
      </c>
      <c r="U69" s="35"/>
    </row>
    <row r="70" spans="1:21" s="1" customFormat="1" ht="13.5" customHeight="1">
      <c r="A70" s="31" t="s">
        <v>102</v>
      </c>
      <c r="B70" s="31"/>
      <c r="C70" s="31"/>
      <c r="D70" s="31"/>
      <c r="E70" s="31"/>
      <c r="F70" s="31"/>
      <c r="G70" s="32" t="s">
        <v>95</v>
      </c>
      <c r="H70" s="32"/>
      <c r="I70" s="32" t="s">
        <v>139</v>
      </c>
      <c r="J70" s="32"/>
      <c r="K70" s="33" t="s">
        <v>104</v>
      </c>
      <c r="L70" s="33"/>
      <c r="M70" s="34">
        <f>190461.3</f>
        <v>190461.3</v>
      </c>
      <c r="N70" s="34"/>
      <c r="O70" s="34">
        <f>132997.36</f>
        <v>132997.36</v>
      </c>
      <c r="P70" s="34"/>
      <c r="Q70" s="34"/>
      <c r="R70" s="34"/>
      <c r="S70" s="34"/>
      <c r="T70" s="35">
        <f>57463.94</f>
        <v>57463.94</v>
      </c>
      <c r="U70" s="35"/>
    </row>
    <row r="71" spans="1:21" s="1" customFormat="1" ht="13.5" customHeight="1">
      <c r="A71" s="31" t="s">
        <v>138</v>
      </c>
      <c r="B71" s="31"/>
      <c r="C71" s="31"/>
      <c r="D71" s="31"/>
      <c r="E71" s="31"/>
      <c r="F71" s="31"/>
      <c r="G71" s="32" t="s">
        <v>95</v>
      </c>
      <c r="H71" s="32"/>
      <c r="I71" s="32" t="s">
        <v>143</v>
      </c>
      <c r="J71" s="32"/>
      <c r="K71" s="33" t="s">
        <v>140</v>
      </c>
      <c r="L71" s="33"/>
      <c r="M71" s="34">
        <f>3155966.68</f>
        <v>3155966.68</v>
      </c>
      <c r="N71" s="34"/>
      <c r="O71" s="34">
        <f>1951792.82</f>
        <v>1951792.82</v>
      </c>
      <c r="P71" s="34"/>
      <c r="Q71" s="34"/>
      <c r="R71" s="34"/>
      <c r="S71" s="34"/>
      <c r="T71" s="35">
        <f>1204173.86</f>
        <v>1204173.86</v>
      </c>
      <c r="U71" s="35"/>
    </row>
    <row r="72" spans="1:21" s="1" customFormat="1" ht="13.5" customHeight="1">
      <c r="A72" s="31" t="s">
        <v>135</v>
      </c>
      <c r="B72" s="31"/>
      <c r="C72" s="31"/>
      <c r="D72" s="31"/>
      <c r="E72" s="31"/>
      <c r="F72" s="31"/>
      <c r="G72" s="32" t="s">
        <v>95</v>
      </c>
      <c r="H72" s="32"/>
      <c r="I72" s="32" t="s">
        <v>144</v>
      </c>
      <c r="J72" s="32"/>
      <c r="K72" s="33" t="s">
        <v>137</v>
      </c>
      <c r="L72" s="33"/>
      <c r="M72" s="34">
        <f>4000</f>
        <v>4000</v>
      </c>
      <c r="N72" s="34"/>
      <c r="O72" s="34">
        <f>1800</f>
        <v>1800</v>
      </c>
      <c r="P72" s="34"/>
      <c r="Q72" s="34"/>
      <c r="R72" s="34"/>
      <c r="S72" s="34"/>
      <c r="T72" s="35">
        <f>2200</f>
        <v>2200</v>
      </c>
      <c r="U72" s="35"/>
    </row>
    <row r="73" spans="1:21" s="1" customFormat="1" ht="13.5" customHeight="1">
      <c r="A73" s="31" t="s">
        <v>135</v>
      </c>
      <c r="B73" s="31"/>
      <c r="C73" s="31"/>
      <c r="D73" s="31"/>
      <c r="E73" s="31"/>
      <c r="F73" s="31"/>
      <c r="G73" s="32" t="s">
        <v>95</v>
      </c>
      <c r="H73" s="32"/>
      <c r="I73" s="32" t="s">
        <v>145</v>
      </c>
      <c r="J73" s="32"/>
      <c r="K73" s="33" t="s">
        <v>137</v>
      </c>
      <c r="L73" s="33"/>
      <c r="M73" s="34">
        <f>17000</f>
        <v>17000</v>
      </c>
      <c r="N73" s="34"/>
      <c r="O73" s="34">
        <f>8700</f>
        <v>8700</v>
      </c>
      <c r="P73" s="34"/>
      <c r="Q73" s="34"/>
      <c r="R73" s="34"/>
      <c r="S73" s="34"/>
      <c r="T73" s="35">
        <f>8300</f>
        <v>8300</v>
      </c>
      <c r="U73" s="35"/>
    </row>
    <row r="74" spans="1:21" s="1" customFormat="1" ht="13.5" customHeight="1">
      <c r="A74" s="31" t="s">
        <v>96</v>
      </c>
      <c r="B74" s="31"/>
      <c r="C74" s="31"/>
      <c r="D74" s="31"/>
      <c r="E74" s="31"/>
      <c r="F74" s="31"/>
      <c r="G74" s="32" t="s">
        <v>95</v>
      </c>
      <c r="H74" s="32"/>
      <c r="I74" s="32" t="s">
        <v>146</v>
      </c>
      <c r="J74" s="32"/>
      <c r="K74" s="33" t="s">
        <v>98</v>
      </c>
      <c r="L74" s="33"/>
      <c r="M74" s="34">
        <f>228341.01</f>
        <v>228341.01</v>
      </c>
      <c r="N74" s="34"/>
      <c r="O74" s="34">
        <f>171255.75</f>
        <v>171255.75</v>
      </c>
      <c r="P74" s="34"/>
      <c r="Q74" s="34"/>
      <c r="R74" s="34"/>
      <c r="S74" s="34"/>
      <c r="T74" s="35">
        <f>57085.26</f>
        <v>57085.26</v>
      </c>
      <c r="U74" s="35"/>
    </row>
    <row r="75" spans="1:21" s="1" customFormat="1" ht="13.5" customHeight="1">
      <c r="A75" s="31" t="s">
        <v>99</v>
      </c>
      <c r="B75" s="31"/>
      <c r="C75" s="31"/>
      <c r="D75" s="31"/>
      <c r="E75" s="31"/>
      <c r="F75" s="31"/>
      <c r="G75" s="32" t="s">
        <v>95</v>
      </c>
      <c r="H75" s="32"/>
      <c r="I75" s="32" t="s">
        <v>147</v>
      </c>
      <c r="J75" s="32"/>
      <c r="K75" s="33" t="s">
        <v>101</v>
      </c>
      <c r="L75" s="33"/>
      <c r="M75" s="34">
        <f>68958.99</f>
        <v>68958.99</v>
      </c>
      <c r="N75" s="34"/>
      <c r="O75" s="34">
        <f>51719.25</f>
        <v>51719.25</v>
      </c>
      <c r="P75" s="34"/>
      <c r="Q75" s="34"/>
      <c r="R75" s="34"/>
      <c r="S75" s="34"/>
      <c r="T75" s="35">
        <f>17239.74</f>
        <v>17239.74</v>
      </c>
      <c r="U75" s="35"/>
    </row>
    <row r="76" spans="1:21" s="1" customFormat="1" ht="13.5" customHeight="1">
      <c r="A76" s="31" t="s">
        <v>96</v>
      </c>
      <c r="B76" s="31"/>
      <c r="C76" s="31"/>
      <c r="D76" s="31"/>
      <c r="E76" s="31"/>
      <c r="F76" s="31"/>
      <c r="G76" s="32" t="s">
        <v>95</v>
      </c>
      <c r="H76" s="32"/>
      <c r="I76" s="32" t="s">
        <v>148</v>
      </c>
      <c r="J76" s="32"/>
      <c r="K76" s="33" t="s">
        <v>98</v>
      </c>
      <c r="L76" s="33"/>
      <c r="M76" s="34">
        <f>54519.35</f>
        <v>54519.35</v>
      </c>
      <c r="N76" s="34"/>
      <c r="O76" s="34">
        <f>40889.52</f>
        <v>40889.52</v>
      </c>
      <c r="P76" s="34"/>
      <c r="Q76" s="34"/>
      <c r="R76" s="34"/>
      <c r="S76" s="34"/>
      <c r="T76" s="35">
        <f>13629.83</f>
        <v>13629.83</v>
      </c>
      <c r="U76" s="35"/>
    </row>
    <row r="77" spans="1:21" s="1" customFormat="1" ht="13.5" customHeight="1">
      <c r="A77" s="31" t="s">
        <v>99</v>
      </c>
      <c r="B77" s="31"/>
      <c r="C77" s="31"/>
      <c r="D77" s="31"/>
      <c r="E77" s="31"/>
      <c r="F77" s="31"/>
      <c r="G77" s="32" t="s">
        <v>95</v>
      </c>
      <c r="H77" s="32"/>
      <c r="I77" s="32" t="s">
        <v>149</v>
      </c>
      <c r="J77" s="32"/>
      <c r="K77" s="33" t="s">
        <v>101</v>
      </c>
      <c r="L77" s="33"/>
      <c r="M77" s="34">
        <f>16464.85</f>
        <v>16464.85</v>
      </c>
      <c r="N77" s="34"/>
      <c r="O77" s="34">
        <f>12348.63</f>
        <v>12348.63</v>
      </c>
      <c r="P77" s="34"/>
      <c r="Q77" s="34"/>
      <c r="R77" s="34"/>
      <c r="S77" s="34"/>
      <c r="T77" s="35">
        <f>4116.22</f>
        <v>4116.22</v>
      </c>
      <c r="U77" s="35"/>
    </row>
    <row r="78" spans="1:21" s="1" customFormat="1" ht="13.5" customHeight="1">
      <c r="A78" s="31" t="s">
        <v>96</v>
      </c>
      <c r="B78" s="31"/>
      <c r="C78" s="31"/>
      <c r="D78" s="31"/>
      <c r="E78" s="31"/>
      <c r="F78" s="31"/>
      <c r="G78" s="32" t="s">
        <v>95</v>
      </c>
      <c r="H78" s="32"/>
      <c r="I78" s="32" t="s">
        <v>150</v>
      </c>
      <c r="J78" s="32"/>
      <c r="K78" s="33" t="s">
        <v>98</v>
      </c>
      <c r="L78" s="33"/>
      <c r="M78" s="34">
        <f>40856.65</f>
        <v>40856.65</v>
      </c>
      <c r="N78" s="34"/>
      <c r="O78" s="34">
        <f>7967.11</f>
        <v>7967.11</v>
      </c>
      <c r="P78" s="34"/>
      <c r="Q78" s="34"/>
      <c r="R78" s="34"/>
      <c r="S78" s="34"/>
      <c r="T78" s="35">
        <f>32889.54</f>
        <v>32889.54</v>
      </c>
      <c r="U78" s="35"/>
    </row>
    <row r="79" spans="1:21" s="1" customFormat="1" ht="13.5" customHeight="1">
      <c r="A79" s="31" t="s">
        <v>99</v>
      </c>
      <c r="B79" s="31"/>
      <c r="C79" s="31"/>
      <c r="D79" s="31"/>
      <c r="E79" s="31"/>
      <c r="F79" s="31"/>
      <c r="G79" s="32" t="s">
        <v>95</v>
      </c>
      <c r="H79" s="32"/>
      <c r="I79" s="32" t="s">
        <v>151</v>
      </c>
      <c r="J79" s="32"/>
      <c r="K79" s="33" t="s">
        <v>101</v>
      </c>
      <c r="L79" s="33"/>
      <c r="M79" s="34">
        <f>12338.7</f>
        <v>12338.7</v>
      </c>
      <c r="N79" s="34"/>
      <c r="O79" s="34">
        <f>2406.05</f>
        <v>2406.05</v>
      </c>
      <c r="P79" s="34"/>
      <c r="Q79" s="34"/>
      <c r="R79" s="34"/>
      <c r="S79" s="34"/>
      <c r="T79" s="35">
        <f>9932.65</f>
        <v>9932.65</v>
      </c>
      <c r="U79" s="35"/>
    </row>
    <row r="80" spans="1:21" s="1" customFormat="1" ht="13.5" customHeight="1">
      <c r="A80" s="31" t="s">
        <v>102</v>
      </c>
      <c r="B80" s="31"/>
      <c r="C80" s="31"/>
      <c r="D80" s="31"/>
      <c r="E80" s="31"/>
      <c r="F80" s="31"/>
      <c r="G80" s="32" t="s">
        <v>95</v>
      </c>
      <c r="H80" s="32"/>
      <c r="I80" s="32" t="s">
        <v>152</v>
      </c>
      <c r="J80" s="32"/>
      <c r="K80" s="33" t="s">
        <v>104</v>
      </c>
      <c r="L80" s="33"/>
      <c r="M80" s="34">
        <f>42739.6</f>
        <v>42739.6</v>
      </c>
      <c r="N80" s="34"/>
      <c r="O80" s="34">
        <f>42739.6</f>
        <v>42739.6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129</v>
      </c>
      <c r="B81" s="31"/>
      <c r="C81" s="31"/>
      <c r="D81" s="31"/>
      <c r="E81" s="31"/>
      <c r="F81" s="31"/>
      <c r="G81" s="32" t="s">
        <v>95</v>
      </c>
      <c r="H81" s="32"/>
      <c r="I81" s="32" t="s">
        <v>153</v>
      </c>
      <c r="J81" s="32"/>
      <c r="K81" s="33" t="s">
        <v>130</v>
      </c>
      <c r="L81" s="33"/>
      <c r="M81" s="34">
        <f>2120.4</f>
        <v>2120.4</v>
      </c>
      <c r="N81" s="34"/>
      <c r="O81" s="34">
        <f>2120.4</f>
        <v>2120.4</v>
      </c>
      <c r="P81" s="34"/>
      <c r="Q81" s="34"/>
      <c r="R81" s="34"/>
      <c r="S81" s="34"/>
      <c r="T81" s="35">
        <f>0</f>
        <v>0</v>
      </c>
      <c r="U81" s="35"/>
    </row>
    <row r="82" spans="1:21" s="1" customFormat="1" ht="13.5" customHeight="1">
      <c r="A82" s="31" t="s">
        <v>102</v>
      </c>
      <c r="B82" s="31"/>
      <c r="C82" s="31"/>
      <c r="D82" s="31"/>
      <c r="E82" s="31"/>
      <c r="F82" s="31"/>
      <c r="G82" s="32" t="s">
        <v>95</v>
      </c>
      <c r="H82" s="32"/>
      <c r="I82" s="32" t="s">
        <v>154</v>
      </c>
      <c r="J82" s="32"/>
      <c r="K82" s="33" t="s">
        <v>104</v>
      </c>
      <c r="L82" s="33"/>
      <c r="M82" s="34">
        <f>10684.9</f>
        <v>10684.9</v>
      </c>
      <c r="N82" s="34"/>
      <c r="O82" s="34">
        <f>10684.9</f>
        <v>10684.9</v>
      </c>
      <c r="P82" s="34"/>
      <c r="Q82" s="34"/>
      <c r="R82" s="34"/>
      <c r="S82" s="34"/>
      <c r="T82" s="35">
        <f>0</f>
        <v>0</v>
      </c>
      <c r="U82" s="35"/>
    </row>
    <row r="83" spans="1:21" s="1" customFormat="1" ht="13.5" customHeight="1">
      <c r="A83" s="31" t="s">
        <v>129</v>
      </c>
      <c r="B83" s="31"/>
      <c r="C83" s="31"/>
      <c r="D83" s="31"/>
      <c r="E83" s="31"/>
      <c r="F83" s="31"/>
      <c r="G83" s="32" t="s">
        <v>95</v>
      </c>
      <c r="H83" s="32"/>
      <c r="I83" s="32" t="s">
        <v>155</v>
      </c>
      <c r="J83" s="32"/>
      <c r="K83" s="33" t="s">
        <v>130</v>
      </c>
      <c r="L83" s="33"/>
      <c r="M83" s="34">
        <f>530.1</f>
        <v>530.1</v>
      </c>
      <c r="N83" s="34"/>
      <c r="O83" s="34">
        <f>530.1</f>
        <v>530.1</v>
      </c>
      <c r="P83" s="34"/>
      <c r="Q83" s="34"/>
      <c r="R83" s="34"/>
      <c r="S83" s="34"/>
      <c r="T83" s="35">
        <f>0</f>
        <v>0</v>
      </c>
      <c r="U83" s="35"/>
    </row>
    <row r="84" spans="1:21" s="1" customFormat="1" ht="13.5" customHeight="1">
      <c r="A84" s="31" t="s">
        <v>96</v>
      </c>
      <c r="B84" s="31"/>
      <c r="C84" s="31"/>
      <c r="D84" s="31"/>
      <c r="E84" s="31"/>
      <c r="F84" s="31"/>
      <c r="G84" s="32" t="s">
        <v>95</v>
      </c>
      <c r="H84" s="32"/>
      <c r="I84" s="32" t="s">
        <v>156</v>
      </c>
      <c r="J84" s="32"/>
      <c r="K84" s="33" t="s">
        <v>98</v>
      </c>
      <c r="L84" s="33"/>
      <c r="M84" s="34">
        <f>20893.26</f>
        <v>20893.26</v>
      </c>
      <c r="N84" s="34"/>
      <c r="O84" s="34">
        <f>8001.1</f>
        <v>8001.1</v>
      </c>
      <c r="P84" s="34"/>
      <c r="Q84" s="34"/>
      <c r="R84" s="34"/>
      <c r="S84" s="34"/>
      <c r="T84" s="35">
        <f>12892.16</f>
        <v>12892.16</v>
      </c>
      <c r="U84" s="35"/>
    </row>
    <row r="85" spans="1:21" s="1" customFormat="1" ht="13.5" customHeight="1">
      <c r="A85" s="31" t="s">
        <v>99</v>
      </c>
      <c r="B85" s="31"/>
      <c r="C85" s="31"/>
      <c r="D85" s="31"/>
      <c r="E85" s="31"/>
      <c r="F85" s="31"/>
      <c r="G85" s="32" t="s">
        <v>95</v>
      </c>
      <c r="H85" s="32"/>
      <c r="I85" s="32" t="s">
        <v>157</v>
      </c>
      <c r="J85" s="32"/>
      <c r="K85" s="33" t="s">
        <v>101</v>
      </c>
      <c r="L85" s="33"/>
      <c r="M85" s="34">
        <f>6309.77</f>
        <v>6309.77</v>
      </c>
      <c r="N85" s="34"/>
      <c r="O85" s="34">
        <f>2462.33</f>
        <v>2462.33</v>
      </c>
      <c r="P85" s="34"/>
      <c r="Q85" s="34"/>
      <c r="R85" s="34"/>
      <c r="S85" s="34"/>
      <c r="T85" s="35">
        <f>3847.44</f>
        <v>3847.44</v>
      </c>
      <c r="U85" s="35"/>
    </row>
    <row r="86" spans="1:21" s="1" customFormat="1" ht="13.5" customHeight="1">
      <c r="A86" s="31" t="s">
        <v>96</v>
      </c>
      <c r="B86" s="31"/>
      <c r="C86" s="31"/>
      <c r="D86" s="31"/>
      <c r="E86" s="31"/>
      <c r="F86" s="31"/>
      <c r="G86" s="32" t="s">
        <v>95</v>
      </c>
      <c r="H86" s="32"/>
      <c r="I86" s="32" t="s">
        <v>158</v>
      </c>
      <c r="J86" s="32"/>
      <c r="K86" s="33" t="s">
        <v>98</v>
      </c>
      <c r="L86" s="33"/>
      <c r="M86" s="34">
        <f>199692.3</f>
        <v>199692.3</v>
      </c>
      <c r="N86" s="34"/>
      <c r="O86" s="34">
        <f>199116.04</f>
        <v>199116.04</v>
      </c>
      <c r="P86" s="34"/>
      <c r="Q86" s="34"/>
      <c r="R86" s="34"/>
      <c r="S86" s="34"/>
      <c r="T86" s="35">
        <f>576.26</f>
        <v>576.26</v>
      </c>
      <c r="U86" s="35"/>
    </row>
    <row r="87" spans="1:21" s="1" customFormat="1" ht="13.5" customHeight="1">
      <c r="A87" s="31" t="s">
        <v>99</v>
      </c>
      <c r="B87" s="31"/>
      <c r="C87" s="31"/>
      <c r="D87" s="31"/>
      <c r="E87" s="31"/>
      <c r="F87" s="31"/>
      <c r="G87" s="32" t="s">
        <v>95</v>
      </c>
      <c r="H87" s="32"/>
      <c r="I87" s="32" t="s">
        <v>159</v>
      </c>
      <c r="J87" s="32"/>
      <c r="K87" s="33" t="s">
        <v>101</v>
      </c>
      <c r="L87" s="33"/>
      <c r="M87" s="34">
        <f>60307.7</f>
        <v>60307.7</v>
      </c>
      <c r="N87" s="34"/>
      <c r="O87" s="34">
        <f>60087.04</f>
        <v>60087.04</v>
      </c>
      <c r="P87" s="34"/>
      <c r="Q87" s="34"/>
      <c r="R87" s="34"/>
      <c r="S87" s="34"/>
      <c r="T87" s="35">
        <f>220.66</f>
        <v>220.66</v>
      </c>
      <c r="U87" s="35"/>
    </row>
    <row r="88" spans="1:21" s="1" customFormat="1" ht="13.5" customHeight="1">
      <c r="A88" s="31" t="s">
        <v>96</v>
      </c>
      <c r="B88" s="31"/>
      <c r="C88" s="31"/>
      <c r="D88" s="31"/>
      <c r="E88" s="31"/>
      <c r="F88" s="31"/>
      <c r="G88" s="32" t="s">
        <v>95</v>
      </c>
      <c r="H88" s="32"/>
      <c r="I88" s="32" t="s">
        <v>160</v>
      </c>
      <c r="J88" s="32"/>
      <c r="K88" s="33" t="s">
        <v>98</v>
      </c>
      <c r="L88" s="33"/>
      <c r="M88" s="34">
        <f>15733.49</f>
        <v>15733.49</v>
      </c>
      <c r="N88" s="34"/>
      <c r="O88" s="34">
        <f>15733.49</f>
        <v>15733.49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99</v>
      </c>
      <c r="B89" s="31"/>
      <c r="C89" s="31"/>
      <c r="D89" s="31"/>
      <c r="E89" s="31"/>
      <c r="F89" s="31"/>
      <c r="G89" s="32" t="s">
        <v>95</v>
      </c>
      <c r="H89" s="32"/>
      <c r="I89" s="32" t="s">
        <v>161</v>
      </c>
      <c r="J89" s="32"/>
      <c r="K89" s="33" t="s">
        <v>101</v>
      </c>
      <c r="L89" s="33"/>
      <c r="M89" s="34">
        <f>4751.51</f>
        <v>4751.51</v>
      </c>
      <c r="N89" s="34"/>
      <c r="O89" s="34">
        <f>4751.51</f>
        <v>4751.51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96</v>
      </c>
      <c r="B90" s="31"/>
      <c r="C90" s="31"/>
      <c r="D90" s="31"/>
      <c r="E90" s="31"/>
      <c r="F90" s="31"/>
      <c r="G90" s="32" t="s">
        <v>95</v>
      </c>
      <c r="H90" s="32"/>
      <c r="I90" s="32" t="s">
        <v>162</v>
      </c>
      <c r="J90" s="32"/>
      <c r="K90" s="33" t="s">
        <v>98</v>
      </c>
      <c r="L90" s="33"/>
      <c r="M90" s="34">
        <f>178682.74</f>
        <v>178682.74</v>
      </c>
      <c r="N90" s="34"/>
      <c r="O90" s="34">
        <f>101152.86</f>
        <v>101152.86</v>
      </c>
      <c r="P90" s="34"/>
      <c r="Q90" s="34"/>
      <c r="R90" s="34"/>
      <c r="S90" s="34"/>
      <c r="T90" s="35">
        <f>77529.88</f>
        <v>77529.88</v>
      </c>
      <c r="U90" s="35"/>
    </row>
    <row r="91" spans="1:21" s="1" customFormat="1" ht="13.5" customHeight="1">
      <c r="A91" s="31" t="s">
        <v>122</v>
      </c>
      <c r="B91" s="31"/>
      <c r="C91" s="31"/>
      <c r="D91" s="31"/>
      <c r="E91" s="31"/>
      <c r="F91" s="31"/>
      <c r="G91" s="32" t="s">
        <v>95</v>
      </c>
      <c r="H91" s="32"/>
      <c r="I91" s="32" t="s">
        <v>162</v>
      </c>
      <c r="J91" s="32"/>
      <c r="K91" s="33" t="s">
        <v>123</v>
      </c>
      <c r="L91" s="33"/>
      <c r="M91" s="34">
        <f>1041.26</f>
        <v>1041.26</v>
      </c>
      <c r="N91" s="34"/>
      <c r="O91" s="34">
        <f>1041.26</f>
        <v>1041.26</v>
      </c>
      <c r="P91" s="34"/>
      <c r="Q91" s="34"/>
      <c r="R91" s="34"/>
      <c r="S91" s="34"/>
      <c r="T91" s="35">
        <f>0</f>
        <v>0</v>
      </c>
      <c r="U91" s="35"/>
    </row>
    <row r="92" spans="1:21" s="1" customFormat="1" ht="13.5" customHeight="1">
      <c r="A92" s="31" t="s">
        <v>99</v>
      </c>
      <c r="B92" s="31"/>
      <c r="C92" s="31"/>
      <c r="D92" s="31"/>
      <c r="E92" s="31"/>
      <c r="F92" s="31"/>
      <c r="G92" s="32" t="s">
        <v>95</v>
      </c>
      <c r="H92" s="32"/>
      <c r="I92" s="32" t="s">
        <v>163</v>
      </c>
      <c r="J92" s="32"/>
      <c r="K92" s="33" t="s">
        <v>101</v>
      </c>
      <c r="L92" s="33"/>
      <c r="M92" s="34">
        <f>54276</f>
        <v>54276</v>
      </c>
      <c r="N92" s="34"/>
      <c r="O92" s="34">
        <f>29276.44</f>
        <v>29276.44</v>
      </c>
      <c r="P92" s="34"/>
      <c r="Q92" s="34"/>
      <c r="R92" s="34"/>
      <c r="S92" s="34"/>
      <c r="T92" s="35">
        <f>24999.56</f>
        <v>24999.56</v>
      </c>
      <c r="U92" s="35"/>
    </row>
    <row r="93" spans="1:21" s="1" customFormat="1" ht="13.5" customHeight="1">
      <c r="A93" s="31" t="s">
        <v>96</v>
      </c>
      <c r="B93" s="31"/>
      <c r="C93" s="31"/>
      <c r="D93" s="31"/>
      <c r="E93" s="31"/>
      <c r="F93" s="31"/>
      <c r="G93" s="32" t="s">
        <v>95</v>
      </c>
      <c r="H93" s="32"/>
      <c r="I93" s="32" t="s">
        <v>164</v>
      </c>
      <c r="J93" s="32"/>
      <c r="K93" s="33" t="s">
        <v>98</v>
      </c>
      <c r="L93" s="33"/>
      <c r="M93" s="34">
        <f>828417.82</f>
        <v>828417.82</v>
      </c>
      <c r="N93" s="34"/>
      <c r="O93" s="34">
        <f>167937.65</f>
        <v>167937.65</v>
      </c>
      <c r="P93" s="34"/>
      <c r="Q93" s="34"/>
      <c r="R93" s="34"/>
      <c r="S93" s="34"/>
      <c r="T93" s="35">
        <f>660480.17</f>
        <v>660480.17</v>
      </c>
      <c r="U93" s="35"/>
    </row>
    <row r="94" spans="1:21" s="1" customFormat="1" ht="13.5" customHeight="1">
      <c r="A94" s="31" t="s">
        <v>99</v>
      </c>
      <c r="B94" s="31"/>
      <c r="C94" s="31"/>
      <c r="D94" s="31"/>
      <c r="E94" s="31"/>
      <c r="F94" s="31"/>
      <c r="G94" s="32" t="s">
        <v>95</v>
      </c>
      <c r="H94" s="32"/>
      <c r="I94" s="32" t="s">
        <v>165</v>
      </c>
      <c r="J94" s="32"/>
      <c r="K94" s="33" t="s">
        <v>101</v>
      </c>
      <c r="L94" s="33"/>
      <c r="M94" s="34">
        <f>250182.18</f>
        <v>250182.18</v>
      </c>
      <c r="N94" s="34"/>
      <c r="O94" s="34">
        <f>50717.13</f>
        <v>50717.13</v>
      </c>
      <c r="P94" s="34"/>
      <c r="Q94" s="34"/>
      <c r="R94" s="34"/>
      <c r="S94" s="34"/>
      <c r="T94" s="35">
        <f>199465.05</f>
        <v>199465.05</v>
      </c>
      <c r="U94" s="35"/>
    </row>
    <row r="95" spans="1:21" s="1" customFormat="1" ht="13.5" customHeight="1">
      <c r="A95" s="31" t="s">
        <v>96</v>
      </c>
      <c r="B95" s="31"/>
      <c r="C95" s="31"/>
      <c r="D95" s="31"/>
      <c r="E95" s="31"/>
      <c r="F95" s="31"/>
      <c r="G95" s="32" t="s">
        <v>95</v>
      </c>
      <c r="H95" s="32"/>
      <c r="I95" s="32" t="s">
        <v>166</v>
      </c>
      <c r="J95" s="32"/>
      <c r="K95" s="33" t="s">
        <v>98</v>
      </c>
      <c r="L95" s="33"/>
      <c r="M95" s="34">
        <f>174826.23</f>
        <v>174826.23</v>
      </c>
      <c r="N95" s="34"/>
      <c r="O95" s="34">
        <f>81729.06</f>
        <v>81729.06</v>
      </c>
      <c r="P95" s="34"/>
      <c r="Q95" s="34"/>
      <c r="R95" s="34"/>
      <c r="S95" s="34"/>
      <c r="T95" s="35">
        <f>93097.17</f>
        <v>93097.17</v>
      </c>
      <c r="U95" s="35"/>
    </row>
    <row r="96" spans="1:21" s="1" customFormat="1" ht="13.5" customHeight="1">
      <c r="A96" s="31" t="s">
        <v>99</v>
      </c>
      <c r="B96" s="31"/>
      <c r="C96" s="31"/>
      <c r="D96" s="31"/>
      <c r="E96" s="31"/>
      <c r="F96" s="31"/>
      <c r="G96" s="32" t="s">
        <v>95</v>
      </c>
      <c r="H96" s="32"/>
      <c r="I96" s="32" t="s">
        <v>167</v>
      </c>
      <c r="J96" s="32"/>
      <c r="K96" s="33" t="s">
        <v>101</v>
      </c>
      <c r="L96" s="33"/>
      <c r="M96" s="34">
        <f>52797.52</f>
        <v>52797.52</v>
      </c>
      <c r="N96" s="34"/>
      <c r="O96" s="34">
        <f>24524.99</f>
        <v>24524.99</v>
      </c>
      <c r="P96" s="34"/>
      <c r="Q96" s="34"/>
      <c r="R96" s="34"/>
      <c r="S96" s="34"/>
      <c r="T96" s="35">
        <f>28272.53</f>
        <v>28272.53</v>
      </c>
      <c r="U96" s="35"/>
    </row>
    <row r="97" spans="1:21" s="1" customFormat="1" ht="13.5" customHeight="1">
      <c r="A97" s="31" t="s">
        <v>96</v>
      </c>
      <c r="B97" s="31"/>
      <c r="C97" s="31"/>
      <c r="D97" s="31"/>
      <c r="E97" s="31"/>
      <c r="F97" s="31"/>
      <c r="G97" s="32" t="s">
        <v>95</v>
      </c>
      <c r="H97" s="32"/>
      <c r="I97" s="32" t="s">
        <v>168</v>
      </c>
      <c r="J97" s="32"/>
      <c r="K97" s="33" t="s">
        <v>98</v>
      </c>
      <c r="L97" s="33"/>
      <c r="M97" s="34">
        <f>12</f>
        <v>12</v>
      </c>
      <c r="N97" s="34"/>
      <c r="O97" s="36" t="s">
        <v>39</v>
      </c>
      <c r="P97" s="36"/>
      <c r="Q97" s="36"/>
      <c r="R97" s="36"/>
      <c r="S97" s="36"/>
      <c r="T97" s="35">
        <f>12</f>
        <v>12</v>
      </c>
      <c r="U97" s="35"/>
    </row>
    <row r="98" spans="1:21" s="1" customFormat="1" ht="13.5" customHeight="1">
      <c r="A98" s="31" t="s">
        <v>99</v>
      </c>
      <c r="B98" s="31"/>
      <c r="C98" s="31"/>
      <c r="D98" s="31"/>
      <c r="E98" s="31"/>
      <c r="F98" s="31"/>
      <c r="G98" s="32" t="s">
        <v>95</v>
      </c>
      <c r="H98" s="32"/>
      <c r="I98" s="32" t="s">
        <v>169</v>
      </c>
      <c r="J98" s="32"/>
      <c r="K98" s="33" t="s">
        <v>101</v>
      </c>
      <c r="L98" s="33"/>
      <c r="M98" s="34">
        <f>3.62</f>
        <v>3.62</v>
      </c>
      <c r="N98" s="34"/>
      <c r="O98" s="36" t="s">
        <v>39</v>
      </c>
      <c r="P98" s="36"/>
      <c r="Q98" s="36"/>
      <c r="R98" s="36"/>
      <c r="S98" s="36"/>
      <c r="T98" s="35">
        <f>3.62</f>
        <v>3.62</v>
      </c>
      <c r="U98" s="35"/>
    </row>
    <row r="99" spans="1:21" s="1" customFormat="1" ht="13.5" customHeight="1">
      <c r="A99" s="31" t="s">
        <v>102</v>
      </c>
      <c r="B99" s="31"/>
      <c r="C99" s="31"/>
      <c r="D99" s="31"/>
      <c r="E99" s="31"/>
      <c r="F99" s="31"/>
      <c r="G99" s="32" t="s">
        <v>95</v>
      </c>
      <c r="H99" s="32"/>
      <c r="I99" s="32" t="s">
        <v>170</v>
      </c>
      <c r="J99" s="32"/>
      <c r="K99" s="33" t="s">
        <v>104</v>
      </c>
      <c r="L99" s="33"/>
      <c r="M99" s="34">
        <f>1545.97</f>
        <v>1545.97</v>
      </c>
      <c r="N99" s="34"/>
      <c r="O99" s="36" t="s">
        <v>39</v>
      </c>
      <c r="P99" s="36"/>
      <c r="Q99" s="36"/>
      <c r="R99" s="36"/>
      <c r="S99" s="36"/>
      <c r="T99" s="35">
        <f>1545.97</f>
        <v>1545.97</v>
      </c>
      <c r="U99" s="35"/>
    </row>
    <row r="100" spans="1:21" s="1" customFormat="1" ht="13.5" customHeight="1">
      <c r="A100" s="31" t="s">
        <v>141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171</v>
      </c>
      <c r="J100" s="32"/>
      <c r="K100" s="33" t="s">
        <v>142</v>
      </c>
      <c r="L100" s="33"/>
      <c r="M100" s="34">
        <f>6221218.02</f>
        <v>6221218.02</v>
      </c>
      <c r="N100" s="34"/>
      <c r="O100" s="34">
        <f>4259330.3</f>
        <v>4259330.3</v>
      </c>
      <c r="P100" s="34"/>
      <c r="Q100" s="34"/>
      <c r="R100" s="34"/>
      <c r="S100" s="34"/>
      <c r="T100" s="35">
        <f>1961887.72</f>
        <v>1961887.72</v>
      </c>
      <c r="U100" s="35"/>
    </row>
    <row r="101" spans="1:21" s="1" customFormat="1" ht="13.5" customHeight="1">
      <c r="A101" s="31" t="s">
        <v>172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171</v>
      </c>
      <c r="J101" s="32"/>
      <c r="K101" s="33" t="s">
        <v>173</v>
      </c>
      <c r="L101" s="33"/>
      <c r="M101" s="34">
        <f>0</f>
        <v>0</v>
      </c>
      <c r="N101" s="34"/>
      <c r="O101" s="36" t="s">
        <v>39</v>
      </c>
      <c r="P101" s="36"/>
      <c r="Q101" s="36"/>
      <c r="R101" s="36"/>
      <c r="S101" s="36"/>
      <c r="T101" s="37" t="s">
        <v>39</v>
      </c>
      <c r="U101" s="37"/>
    </row>
    <row r="102" spans="1:21" s="1" customFormat="1" ht="13.5" customHeight="1">
      <c r="A102" s="31" t="s">
        <v>133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171</v>
      </c>
      <c r="J102" s="32"/>
      <c r="K102" s="33" t="s">
        <v>134</v>
      </c>
      <c r="L102" s="33"/>
      <c r="M102" s="34">
        <f>647000</f>
        <v>647000</v>
      </c>
      <c r="N102" s="34"/>
      <c r="O102" s="34">
        <f>647000</f>
        <v>647000</v>
      </c>
      <c r="P102" s="34"/>
      <c r="Q102" s="34"/>
      <c r="R102" s="34"/>
      <c r="S102" s="34"/>
      <c r="T102" s="35">
        <f>0</f>
        <v>0</v>
      </c>
      <c r="U102" s="35"/>
    </row>
    <row r="103" spans="1:21" s="1" customFormat="1" ht="13.5" customHeight="1">
      <c r="A103" s="31" t="s">
        <v>138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174</v>
      </c>
      <c r="J103" s="32"/>
      <c r="K103" s="33" t="s">
        <v>140</v>
      </c>
      <c r="L103" s="33"/>
      <c r="M103" s="34">
        <f>1860883.97</f>
        <v>1860883.97</v>
      </c>
      <c r="N103" s="34"/>
      <c r="O103" s="34">
        <f>842353.41</f>
        <v>842353.41</v>
      </c>
      <c r="P103" s="34"/>
      <c r="Q103" s="34"/>
      <c r="R103" s="34"/>
      <c r="S103" s="34"/>
      <c r="T103" s="35">
        <f>1018530.56</f>
        <v>1018530.56</v>
      </c>
      <c r="U103" s="35"/>
    </row>
    <row r="104" spans="1:21" s="1" customFormat="1" ht="13.5" customHeight="1">
      <c r="A104" s="31" t="s">
        <v>126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175</v>
      </c>
      <c r="J104" s="32"/>
      <c r="K104" s="33" t="s">
        <v>128</v>
      </c>
      <c r="L104" s="33"/>
      <c r="M104" s="34">
        <f>172454.94</f>
        <v>172454.94</v>
      </c>
      <c r="N104" s="34"/>
      <c r="O104" s="34">
        <f>79655.62</f>
        <v>79655.62</v>
      </c>
      <c r="P104" s="34"/>
      <c r="Q104" s="34"/>
      <c r="R104" s="34"/>
      <c r="S104" s="34"/>
      <c r="T104" s="35">
        <f>92799.32</f>
        <v>92799.32</v>
      </c>
      <c r="U104" s="35"/>
    </row>
    <row r="105" spans="1:21" s="1" customFormat="1" ht="13.5" customHeight="1">
      <c r="A105" s="31" t="s">
        <v>102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175</v>
      </c>
      <c r="J105" s="32"/>
      <c r="K105" s="33" t="s">
        <v>104</v>
      </c>
      <c r="L105" s="33"/>
      <c r="M105" s="34">
        <f>234000</f>
        <v>234000</v>
      </c>
      <c r="N105" s="34"/>
      <c r="O105" s="34">
        <f>150356</f>
        <v>150356</v>
      </c>
      <c r="P105" s="34"/>
      <c r="Q105" s="34"/>
      <c r="R105" s="34"/>
      <c r="S105" s="34"/>
      <c r="T105" s="35">
        <f>83644</f>
        <v>83644</v>
      </c>
      <c r="U105" s="35"/>
    </row>
    <row r="106" spans="1:21" s="1" customFormat="1" ht="13.5" customHeight="1">
      <c r="A106" s="31" t="s">
        <v>133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175</v>
      </c>
      <c r="J106" s="32"/>
      <c r="K106" s="33" t="s">
        <v>134</v>
      </c>
      <c r="L106" s="33"/>
      <c r="M106" s="34">
        <f>40000</f>
        <v>40000</v>
      </c>
      <c r="N106" s="34"/>
      <c r="O106" s="34">
        <f>39715</f>
        <v>39715</v>
      </c>
      <c r="P106" s="34"/>
      <c r="Q106" s="34"/>
      <c r="R106" s="34"/>
      <c r="S106" s="34"/>
      <c r="T106" s="35">
        <f>285</f>
        <v>285</v>
      </c>
      <c r="U106" s="35"/>
    </row>
    <row r="107" spans="1:21" s="1" customFormat="1" ht="13.5" customHeight="1">
      <c r="A107" s="31" t="s">
        <v>141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176</v>
      </c>
      <c r="J107" s="32"/>
      <c r="K107" s="33" t="s">
        <v>142</v>
      </c>
      <c r="L107" s="33"/>
      <c r="M107" s="34">
        <f>964279.42</f>
        <v>964279.42</v>
      </c>
      <c r="N107" s="34"/>
      <c r="O107" s="34">
        <f>281082.61</f>
        <v>281082.61</v>
      </c>
      <c r="P107" s="34"/>
      <c r="Q107" s="34"/>
      <c r="R107" s="34"/>
      <c r="S107" s="34"/>
      <c r="T107" s="35">
        <f>683196.81</f>
        <v>683196.81</v>
      </c>
      <c r="U107" s="35"/>
    </row>
    <row r="108" spans="1:21" s="1" customFormat="1" ht="13.5" customHeight="1">
      <c r="A108" s="31" t="s">
        <v>141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177</v>
      </c>
      <c r="J108" s="32"/>
      <c r="K108" s="33" t="s">
        <v>142</v>
      </c>
      <c r="L108" s="33"/>
      <c r="M108" s="34">
        <f>145882.9</f>
        <v>145882.9</v>
      </c>
      <c r="N108" s="34"/>
      <c r="O108" s="34">
        <f>75674.9</f>
        <v>75674.9</v>
      </c>
      <c r="P108" s="34"/>
      <c r="Q108" s="34"/>
      <c r="R108" s="34"/>
      <c r="S108" s="34"/>
      <c r="T108" s="35">
        <f>70208</f>
        <v>70208</v>
      </c>
      <c r="U108" s="35"/>
    </row>
    <row r="109" spans="1:21" s="1" customFormat="1" ht="24" customHeight="1">
      <c r="A109" s="31" t="s">
        <v>110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178</v>
      </c>
      <c r="J109" s="32"/>
      <c r="K109" s="33" t="s">
        <v>112</v>
      </c>
      <c r="L109" s="33"/>
      <c r="M109" s="34">
        <f>6026005.46</f>
        <v>6026005.46</v>
      </c>
      <c r="N109" s="34"/>
      <c r="O109" s="36" t="s">
        <v>39</v>
      </c>
      <c r="P109" s="36"/>
      <c r="Q109" s="36"/>
      <c r="R109" s="36"/>
      <c r="S109" s="36"/>
      <c r="T109" s="35">
        <f>6026005.46</f>
        <v>6026005.46</v>
      </c>
      <c r="U109" s="35"/>
    </row>
    <row r="110" spans="1:21" s="1" customFormat="1" ht="13.5" customHeight="1">
      <c r="A110" s="31" t="s">
        <v>141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179</v>
      </c>
      <c r="J110" s="32"/>
      <c r="K110" s="33" t="s">
        <v>142</v>
      </c>
      <c r="L110" s="33"/>
      <c r="M110" s="34">
        <f>53675</f>
        <v>53675</v>
      </c>
      <c r="N110" s="34"/>
      <c r="O110" s="34">
        <f>42675</f>
        <v>42675</v>
      </c>
      <c r="P110" s="34"/>
      <c r="Q110" s="34"/>
      <c r="R110" s="34"/>
      <c r="S110" s="34"/>
      <c r="T110" s="35">
        <f>11000</f>
        <v>11000</v>
      </c>
      <c r="U110" s="35"/>
    </row>
    <row r="111" spans="1:21" s="1" customFormat="1" ht="24" customHeight="1">
      <c r="A111" s="31" t="s">
        <v>110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180</v>
      </c>
      <c r="J111" s="32"/>
      <c r="K111" s="33" t="s">
        <v>112</v>
      </c>
      <c r="L111" s="33"/>
      <c r="M111" s="34">
        <f>7343100</f>
        <v>7343100</v>
      </c>
      <c r="N111" s="34"/>
      <c r="O111" s="34">
        <f>6767100</f>
        <v>6767100</v>
      </c>
      <c r="P111" s="34"/>
      <c r="Q111" s="34"/>
      <c r="R111" s="34"/>
      <c r="S111" s="34"/>
      <c r="T111" s="35">
        <f>576000</f>
        <v>576000</v>
      </c>
      <c r="U111" s="35"/>
    </row>
    <row r="112" spans="1:21" s="1" customFormat="1" ht="24" customHeight="1">
      <c r="A112" s="31" t="s">
        <v>110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181</v>
      </c>
      <c r="J112" s="32"/>
      <c r="K112" s="33" t="s">
        <v>112</v>
      </c>
      <c r="L112" s="33"/>
      <c r="M112" s="34">
        <f>8912300</f>
        <v>8912300</v>
      </c>
      <c r="N112" s="34"/>
      <c r="O112" s="34">
        <f>8912300</f>
        <v>8912300</v>
      </c>
      <c r="P112" s="34"/>
      <c r="Q112" s="34"/>
      <c r="R112" s="34"/>
      <c r="S112" s="34"/>
      <c r="T112" s="35">
        <f>0</f>
        <v>0</v>
      </c>
      <c r="U112" s="35"/>
    </row>
    <row r="113" spans="1:21" s="1" customFormat="1" ht="24" customHeight="1">
      <c r="A113" s="31" t="s">
        <v>110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182</v>
      </c>
      <c r="J113" s="32"/>
      <c r="K113" s="33" t="s">
        <v>112</v>
      </c>
      <c r="L113" s="33"/>
      <c r="M113" s="34">
        <f>352350</f>
        <v>352350</v>
      </c>
      <c r="N113" s="34"/>
      <c r="O113" s="36" t="s">
        <v>39</v>
      </c>
      <c r="P113" s="36"/>
      <c r="Q113" s="36"/>
      <c r="R113" s="36"/>
      <c r="S113" s="36"/>
      <c r="T113" s="35">
        <f>352350</f>
        <v>352350</v>
      </c>
      <c r="U113" s="35"/>
    </row>
    <row r="114" spans="1:21" s="1" customFormat="1" ht="13.5" customHeight="1">
      <c r="A114" s="31" t="s">
        <v>96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183</v>
      </c>
      <c r="J114" s="32"/>
      <c r="K114" s="33" t="s">
        <v>98</v>
      </c>
      <c r="L114" s="33"/>
      <c r="M114" s="34">
        <f>2412</f>
        <v>2412</v>
      </c>
      <c r="N114" s="34"/>
      <c r="O114" s="36" t="s">
        <v>39</v>
      </c>
      <c r="P114" s="36"/>
      <c r="Q114" s="36"/>
      <c r="R114" s="36"/>
      <c r="S114" s="36"/>
      <c r="T114" s="35">
        <f>2412</f>
        <v>2412</v>
      </c>
      <c r="U114" s="35"/>
    </row>
    <row r="115" spans="1:21" s="1" customFormat="1" ht="13.5" customHeight="1">
      <c r="A115" s="31" t="s">
        <v>99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184</v>
      </c>
      <c r="J115" s="32"/>
      <c r="K115" s="33" t="s">
        <v>101</v>
      </c>
      <c r="L115" s="33"/>
      <c r="M115" s="34">
        <f>728</f>
        <v>728</v>
      </c>
      <c r="N115" s="34"/>
      <c r="O115" s="36" t="s">
        <v>39</v>
      </c>
      <c r="P115" s="36"/>
      <c r="Q115" s="36"/>
      <c r="R115" s="36"/>
      <c r="S115" s="36"/>
      <c r="T115" s="35">
        <f>728</f>
        <v>728</v>
      </c>
      <c r="U115" s="35"/>
    </row>
    <row r="116" spans="1:21" s="1" customFormat="1" ht="24" customHeight="1">
      <c r="A116" s="31" t="s">
        <v>110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185</v>
      </c>
      <c r="J116" s="32"/>
      <c r="K116" s="33" t="s">
        <v>112</v>
      </c>
      <c r="L116" s="33"/>
      <c r="M116" s="34">
        <f>972880</f>
        <v>972880</v>
      </c>
      <c r="N116" s="34"/>
      <c r="O116" s="34">
        <f>576518</f>
        <v>576518</v>
      </c>
      <c r="P116" s="34"/>
      <c r="Q116" s="34"/>
      <c r="R116" s="34"/>
      <c r="S116" s="34"/>
      <c r="T116" s="35">
        <f>396362</f>
        <v>396362</v>
      </c>
      <c r="U116" s="35"/>
    </row>
    <row r="117" spans="1:21" s="1" customFormat="1" ht="13.5" customHeight="1">
      <c r="A117" s="31" t="s">
        <v>96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186</v>
      </c>
      <c r="J117" s="32"/>
      <c r="K117" s="33" t="s">
        <v>98</v>
      </c>
      <c r="L117" s="33"/>
      <c r="M117" s="34">
        <f>9261605.04</f>
        <v>9261605.04</v>
      </c>
      <c r="N117" s="34"/>
      <c r="O117" s="34">
        <f>5917861.01</f>
        <v>5917861.01</v>
      </c>
      <c r="P117" s="34"/>
      <c r="Q117" s="34"/>
      <c r="R117" s="34"/>
      <c r="S117" s="34"/>
      <c r="T117" s="35">
        <f>3343744.03</f>
        <v>3343744.03</v>
      </c>
      <c r="U117" s="35"/>
    </row>
    <row r="118" spans="1:21" s="1" customFormat="1" ht="13.5" customHeight="1">
      <c r="A118" s="31" t="s">
        <v>122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186</v>
      </c>
      <c r="J118" s="32"/>
      <c r="K118" s="33" t="s">
        <v>123</v>
      </c>
      <c r="L118" s="33"/>
      <c r="M118" s="34">
        <f>30000</f>
        <v>30000</v>
      </c>
      <c r="N118" s="34"/>
      <c r="O118" s="34">
        <f>19214.55</f>
        <v>19214.55</v>
      </c>
      <c r="P118" s="34"/>
      <c r="Q118" s="34"/>
      <c r="R118" s="34"/>
      <c r="S118" s="34"/>
      <c r="T118" s="35">
        <f>10785.45</f>
        <v>10785.45</v>
      </c>
      <c r="U118" s="35"/>
    </row>
    <row r="119" spans="1:21" s="1" customFormat="1" ht="13.5" customHeight="1">
      <c r="A119" s="31" t="s">
        <v>99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187</v>
      </c>
      <c r="J119" s="32"/>
      <c r="K119" s="33" t="s">
        <v>101</v>
      </c>
      <c r="L119" s="33"/>
      <c r="M119" s="34">
        <f>2767004.72</f>
        <v>2767004.72</v>
      </c>
      <c r="N119" s="34"/>
      <c r="O119" s="34">
        <f>1717408.39</f>
        <v>1717408.39</v>
      </c>
      <c r="P119" s="34"/>
      <c r="Q119" s="34"/>
      <c r="R119" s="34"/>
      <c r="S119" s="34"/>
      <c r="T119" s="35">
        <f>1049596.33</f>
        <v>1049596.33</v>
      </c>
      <c r="U119" s="35"/>
    </row>
    <row r="120" spans="1:21" s="1" customFormat="1" ht="13.5" customHeight="1">
      <c r="A120" s="31" t="s">
        <v>126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188</v>
      </c>
      <c r="J120" s="32"/>
      <c r="K120" s="33" t="s">
        <v>128</v>
      </c>
      <c r="L120" s="33"/>
      <c r="M120" s="34">
        <f>83453.68</f>
        <v>83453.68</v>
      </c>
      <c r="N120" s="34"/>
      <c r="O120" s="34">
        <f>41118.84</f>
        <v>41118.84</v>
      </c>
      <c r="P120" s="34"/>
      <c r="Q120" s="34"/>
      <c r="R120" s="34"/>
      <c r="S120" s="34"/>
      <c r="T120" s="35">
        <f>42334.84</f>
        <v>42334.84</v>
      </c>
      <c r="U120" s="35"/>
    </row>
    <row r="121" spans="1:21" s="1" customFormat="1" ht="13.5" customHeight="1">
      <c r="A121" s="31" t="s">
        <v>189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190</v>
      </c>
      <c r="J121" s="32"/>
      <c r="K121" s="33" t="s">
        <v>191</v>
      </c>
      <c r="L121" s="33"/>
      <c r="M121" s="34">
        <f>10000</f>
        <v>10000</v>
      </c>
      <c r="N121" s="34"/>
      <c r="O121" s="36" t="s">
        <v>39</v>
      </c>
      <c r="P121" s="36"/>
      <c r="Q121" s="36"/>
      <c r="R121" s="36"/>
      <c r="S121" s="36"/>
      <c r="T121" s="35">
        <f>10000</f>
        <v>10000</v>
      </c>
      <c r="U121" s="35"/>
    </row>
    <row r="122" spans="1:21" s="1" customFormat="1" ht="13.5" customHeight="1">
      <c r="A122" s="31" t="s">
        <v>141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190</v>
      </c>
      <c r="J122" s="32"/>
      <c r="K122" s="33" t="s">
        <v>142</v>
      </c>
      <c r="L122" s="33"/>
      <c r="M122" s="34">
        <f>15000</f>
        <v>15000</v>
      </c>
      <c r="N122" s="34"/>
      <c r="O122" s="36" t="s">
        <v>39</v>
      </c>
      <c r="P122" s="36"/>
      <c r="Q122" s="36"/>
      <c r="R122" s="36"/>
      <c r="S122" s="36"/>
      <c r="T122" s="35">
        <f>15000</f>
        <v>15000</v>
      </c>
      <c r="U122" s="35"/>
    </row>
    <row r="123" spans="1:21" s="1" customFormat="1" ht="13.5" customHeight="1">
      <c r="A123" s="31" t="s">
        <v>102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190</v>
      </c>
      <c r="J123" s="32"/>
      <c r="K123" s="33" t="s">
        <v>104</v>
      </c>
      <c r="L123" s="33"/>
      <c r="M123" s="34">
        <f>135997</f>
        <v>135997</v>
      </c>
      <c r="N123" s="34"/>
      <c r="O123" s="34">
        <f>117497</f>
        <v>117497</v>
      </c>
      <c r="P123" s="34"/>
      <c r="Q123" s="34"/>
      <c r="R123" s="34"/>
      <c r="S123" s="34"/>
      <c r="T123" s="35">
        <f>18500</f>
        <v>18500</v>
      </c>
      <c r="U123" s="35"/>
    </row>
    <row r="124" spans="1:21" s="1" customFormat="1" ht="13.5" customHeight="1">
      <c r="A124" s="31" t="s">
        <v>172</v>
      </c>
      <c r="B124" s="31"/>
      <c r="C124" s="31"/>
      <c r="D124" s="31"/>
      <c r="E124" s="31"/>
      <c r="F124" s="31"/>
      <c r="G124" s="32" t="s">
        <v>95</v>
      </c>
      <c r="H124" s="32"/>
      <c r="I124" s="32" t="s">
        <v>190</v>
      </c>
      <c r="J124" s="32"/>
      <c r="K124" s="33" t="s">
        <v>173</v>
      </c>
      <c r="L124" s="33"/>
      <c r="M124" s="34">
        <f>38730</f>
        <v>38730</v>
      </c>
      <c r="N124" s="34"/>
      <c r="O124" s="34">
        <f>38730</f>
        <v>38730</v>
      </c>
      <c r="P124" s="34"/>
      <c r="Q124" s="34"/>
      <c r="R124" s="34"/>
      <c r="S124" s="34"/>
      <c r="T124" s="35">
        <f>0</f>
        <v>0</v>
      </c>
      <c r="U124" s="35"/>
    </row>
    <row r="125" spans="1:21" s="1" customFormat="1" ht="13.5" customHeight="1">
      <c r="A125" s="31" t="s">
        <v>133</v>
      </c>
      <c r="B125" s="31"/>
      <c r="C125" s="31"/>
      <c r="D125" s="31"/>
      <c r="E125" s="31"/>
      <c r="F125" s="31"/>
      <c r="G125" s="32" t="s">
        <v>95</v>
      </c>
      <c r="H125" s="32"/>
      <c r="I125" s="32" t="s">
        <v>190</v>
      </c>
      <c r="J125" s="32"/>
      <c r="K125" s="33" t="s">
        <v>134</v>
      </c>
      <c r="L125" s="33"/>
      <c r="M125" s="34">
        <f>55200</f>
        <v>55200</v>
      </c>
      <c r="N125" s="34"/>
      <c r="O125" s="34">
        <f>35120</f>
        <v>35120</v>
      </c>
      <c r="P125" s="34"/>
      <c r="Q125" s="34"/>
      <c r="R125" s="34"/>
      <c r="S125" s="34"/>
      <c r="T125" s="35">
        <f>20080</f>
        <v>20080</v>
      </c>
      <c r="U125" s="35"/>
    </row>
    <row r="126" spans="1:21" s="1" customFormat="1" ht="24" customHeight="1">
      <c r="A126" s="31" t="s">
        <v>192</v>
      </c>
      <c r="B126" s="31"/>
      <c r="C126" s="31"/>
      <c r="D126" s="31"/>
      <c r="E126" s="31"/>
      <c r="F126" s="31"/>
      <c r="G126" s="32" t="s">
        <v>95</v>
      </c>
      <c r="H126" s="32"/>
      <c r="I126" s="32" t="s">
        <v>190</v>
      </c>
      <c r="J126" s="32"/>
      <c r="K126" s="33" t="s">
        <v>193</v>
      </c>
      <c r="L126" s="33"/>
      <c r="M126" s="34">
        <f>138025</f>
        <v>138025</v>
      </c>
      <c r="N126" s="34"/>
      <c r="O126" s="34">
        <f>107765</f>
        <v>107765</v>
      </c>
      <c r="P126" s="34"/>
      <c r="Q126" s="34"/>
      <c r="R126" s="34"/>
      <c r="S126" s="34"/>
      <c r="T126" s="35">
        <f>30260</f>
        <v>30260</v>
      </c>
      <c r="U126" s="35"/>
    </row>
    <row r="127" spans="1:21" s="1" customFormat="1" ht="13.5" customHeight="1">
      <c r="A127" s="31" t="s">
        <v>138</v>
      </c>
      <c r="B127" s="31"/>
      <c r="C127" s="31"/>
      <c r="D127" s="31"/>
      <c r="E127" s="31"/>
      <c r="F127" s="31"/>
      <c r="G127" s="32" t="s">
        <v>95</v>
      </c>
      <c r="H127" s="32"/>
      <c r="I127" s="32" t="s">
        <v>194</v>
      </c>
      <c r="J127" s="32"/>
      <c r="K127" s="33" t="s">
        <v>140</v>
      </c>
      <c r="L127" s="33"/>
      <c r="M127" s="34">
        <f>1163716.09</f>
        <v>1163716.09</v>
      </c>
      <c r="N127" s="34"/>
      <c r="O127" s="34">
        <f>606756.87</f>
        <v>606756.87</v>
      </c>
      <c r="P127" s="34"/>
      <c r="Q127" s="34"/>
      <c r="R127" s="34"/>
      <c r="S127" s="34"/>
      <c r="T127" s="35">
        <f>556959.22</f>
        <v>556959.22</v>
      </c>
      <c r="U127" s="35"/>
    </row>
    <row r="128" spans="1:21" s="1" customFormat="1" ht="13.5" customHeight="1">
      <c r="A128" s="31" t="s">
        <v>135</v>
      </c>
      <c r="B128" s="31"/>
      <c r="C128" s="31"/>
      <c r="D128" s="31"/>
      <c r="E128" s="31"/>
      <c r="F128" s="31"/>
      <c r="G128" s="32" t="s">
        <v>95</v>
      </c>
      <c r="H128" s="32"/>
      <c r="I128" s="32" t="s">
        <v>195</v>
      </c>
      <c r="J128" s="32"/>
      <c r="K128" s="33" t="s">
        <v>137</v>
      </c>
      <c r="L128" s="33"/>
      <c r="M128" s="34">
        <f>10000</f>
        <v>10000</v>
      </c>
      <c r="N128" s="34"/>
      <c r="O128" s="34">
        <f>2520</f>
        <v>2520</v>
      </c>
      <c r="P128" s="34"/>
      <c r="Q128" s="34"/>
      <c r="R128" s="34"/>
      <c r="S128" s="34"/>
      <c r="T128" s="35">
        <f>7480</f>
        <v>7480</v>
      </c>
      <c r="U128" s="35"/>
    </row>
    <row r="129" spans="1:21" s="1" customFormat="1" ht="13.5" customHeight="1">
      <c r="A129" s="31" t="s">
        <v>135</v>
      </c>
      <c r="B129" s="31"/>
      <c r="C129" s="31"/>
      <c r="D129" s="31"/>
      <c r="E129" s="31"/>
      <c r="F129" s="31"/>
      <c r="G129" s="32" t="s">
        <v>95</v>
      </c>
      <c r="H129" s="32"/>
      <c r="I129" s="32" t="s">
        <v>196</v>
      </c>
      <c r="J129" s="32"/>
      <c r="K129" s="33" t="s">
        <v>137</v>
      </c>
      <c r="L129" s="33"/>
      <c r="M129" s="34">
        <f>7000</f>
        <v>7000</v>
      </c>
      <c r="N129" s="34"/>
      <c r="O129" s="34">
        <f>3334</f>
        <v>3334</v>
      </c>
      <c r="P129" s="34"/>
      <c r="Q129" s="34"/>
      <c r="R129" s="34"/>
      <c r="S129" s="34"/>
      <c r="T129" s="35">
        <f>3666</f>
        <v>3666</v>
      </c>
      <c r="U129" s="35"/>
    </row>
    <row r="130" spans="1:21" s="1" customFormat="1" ht="24" customHeight="1">
      <c r="A130" s="31" t="s">
        <v>192</v>
      </c>
      <c r="B130" s="31"/>
      <c r="C130" s="31"/>
      <c r="D130" s="31"/>
      <c r="E130" s="31"/>
      <c r="F130" s="31"/>
      <c r="G130" s="32" t="s">
        <v>95</v>
      </c>
      <c r="H130" s="32"/>
      <c r="I130" s="32" t="s">
        <v>197</v>
      </c>
      <c r="J130" s="32"/>
      <c r="K130" s="33" t="s">
        <v>193</v>
      </c>
      <c r="L130" s="33"/>
      <c r="M130" s="34">
        <f>11000</f>
        <v>11000</v>
      </c>
      <c r="N130" s="34"/>
      <c r="O130" s="34">
        <f>11000</f>
        <v>11000</v>
      </c>
      <c r="P130" s="34"/>
      <c r="Q130" s="34"/>
      <c r="R130" s="34"/>
      <c r="S130" s="34"/>
      <c r="T130" s="35">
        <f>0</f>
        <v>0</v>
      </c>
      <c r="U130" s="35"/>
    </row>
    <row r="131" spans="1:21" s="1" customFormat="1" ht="13.5" customHeight="1">
      <c r="A131" s="31" t="s">
        <v>96</v>
      </c>
      <c r="B131" s="31"/>
      <c r="C131" s="31"/>
      <c r="D131" s="31"/>
      <c r="E131" s="31"/>
      <c r="F131" s="31"/>
      <c r="G131" s="32" t="s">
        <v>95</v>
      </c>
      <c r="H131" s="32"/>
      <c r="I131" s="32" t="s">
        <v>198</v>
      </c>
      <c r="J131" s="32"/>
      <c r="K131" s="33" t="s">
        <v>98</v>
      </c>
      <c r="L131" s="33"/>
      <c r="M131" s="34">
        <f>2763202.56</f>
        <v>2763202.56</v>
      </c>
      <c r="N131" s="34"/>
      <c r="O131" s="34">
        <f>1843221.02</f>
        <v>1843221.02</v>
      </c>
      <c r="P131" s="34"/>
      <c r="Q131" s="34"/>
      <c r="R131" s="34"/>
      <c r="S131" s="34"/>
      <c r="T131" s="35">
        <f>919981.54</f>
        <v>919981.54</v>
      </c>
      <c r="U131" s="35"/>
    </row>
    <row r="132" spans="1:21" s="1" customFormat="1" ht="13.5" customHeight="1">
      <c r="A132" s="31" t="s">
        <v>99</v>
      </c>
      <c r="B132" s="31"/>
      <c r="C132" s="31"/>
      <c r="D132" s="31"/>
      <c r="E132" s="31"/>
      <c r="F132" s="31"/>
      <c r="G132" s="32" t="s">
        <v>95</v>
      </c>
      <c r="H132" s="32"/>
      <c r="I132" s="32" t="s">
        <v>199</v>
      </c>
      <c r="J132" s="32"/>
      <c r="K132" s="33" t="s">
        <v>101</v>
      </c>
      <c r="L132" s="33"/>
      <c r="M132" s="34">
        <f>834487.17</f>
        <v>834487.17</v>
      </c>
      <c r="N132" s="34"/>
      <c r="O132" s="34">
        <f>555238.36</f>
        <v>555238.36</v>
      </c>
      <c r="P132" s="34"/>
      <c r="Q132" s="34"/>
      <c r="R132" s="34"/>
      <c r="S132" s="34"/>
      <c r="T132" s="35">
        <f>279248.81</f>
        <v>279248.81</v>
      </c>
      <c r="U132" s="35"/>
    </row>
    <row r="133" spans="1:21" s="1" customFormat="1" ht="24" customHeight="1">
      <c r="A133" s="31" t="s">
        <v>200</v>
      </c>
      <c r="B133" s="31"/>
      <c r="C133" s="31"/>
      <c r="D133" s="31"/>
      <c r="E133" s="31"/>
      <c r="F133" s="31"/>
      <c r="G133" s="32" t="s">
        <v>95</v>
      </c>
      <c r="H133" s="32"/>
      <c r="I133" s="32" t="s">
        <v>201</v>
      </c>
      <c r="J133" s="32"/>
      <c r="K133" s="33" t="s">
        <v>202</v>
      </c>
      <c r="L133" s="33"/>
      <c r="M133" s="34">
        <f>305000.74</f>
        <v>305000.74</v>
      </c>
      <c r="N133" s="34"/>
      <c r="O133" s="34">
        <f>88384</f>
        <v>88384</v>
      </c>
      <c r="P133" s="34"/>
      <c r="Q133" s="34"/>
      <c r="R133" s="34"/>
      <c r="S133" s="34"/>
      <c r="T133" s="35">
        <f>216616.74</f>
        <v>216616.74</v>
      </c>
      <c r="U133" s="35"/>
    </row>
    <row r="134" spans="1:21" s="1" customFormat="1" ht="24" customHeight="1">
      <c r="A134" s="31" t="s">
        <v>192</v>
      </c>
      <c r="B134" s="31"/>
      <c r="C134" s="31"/>
      <c r="D134" s="31"/>
      <c r="E134" s="31"/>
      <c r="F134" s="31"/>
      <c r="G134" s="32" t="s">
        <v>95</v>
      </c>
      <c r="H134" s="32"/>
      <c r="I134" s="32" t="s">
        <v>203</v>
      </c>
      <c r="J134" s="32"/>
      <c r="K134" s="33" t="s">
        <v>193</v>
      </c>
      <c r="L134" s="33"/>
      <c r="M134" s="34">
        <f>0</f>
        <v>0</v>
      </c>
      <c r="N134" s="34"/>
      <c r="O134" s="36" t="s">
        <v>39</v>
      </c>
      <c r="P134" s="36"/>
      <c r="Q134" s="36"/>
      <c r="R134" s="36"/>
      <c r="S134" s="36"/>
      <c r="T134" s="37" t="s">
        <v>39</v>
      </c>
      <c r="U134" s="37"/>
    </row>
    <row r="135" spans="1:21" s="1" customFormat="1" ht="24" customHeight="1">
      <c r="A135" s="31" t="s">
        <v>192</v>
      </c>
      <c r="B135" s="31"/>
      <c r="C135" s="31"/>
      <c r="D135" s="31"/>
      <c r="E135" s="31"/>
      <c r="F135" s="31"/>
      <c r="G135" s="32" t="s">
        <v>95</v>
      </c>
      <c r="H135" s="32"/>
      <c r="I135" s="32" t="s">
        <v>204</v>
      </c>
      <c r="J135" s="32"/>
      <c r="K135" s="33" t="s">
        <v>193</v>
      </c>
      <c r="L135" s="33"/>
      <c r="M135" s="34">
        <f>15000</f>
        <v>15000</v>
      </c>
      <c r="N135" s="34"/>
      <c r="O135" s="36" t="s">
        <v>39</v>
      </c>
      <c r="P135" s="36"/>
      <c r="Q135" s="36"/>
      <c r="R135" s="36"/>
      <c r="S135" s="36"/>
      <c r="T135" s="35">
        <f>15000</f>
        <v>15000</v>
      </c>
      <c r="U135" s="35"/>
    </row>
    <row r="136" spans="1:21" s="1" customFormat="1" ht="15" customHeight="1">
      <c r="A136" s="38" t="s">
        <v>205</v>
      </c>
      <c r="B136" s="38"/>
      <c r="C136" s="38"/>
      <c r="D136" s="38"/>
      <c r="E136" s="38"/>
      <c r="F136" s="38"/>
      <c r="G136" s="39" t="s">
        <v>206</v>
      </c>
      <c r="H136" s="39"/>
      <c r="I136" s="39" t="s">
        <v>36</v>
      </c>
      <c r="J136" s="39"/>
      <c r="K136" s="40" t="s">
        <v>36</v>
      </c>
      <c r="L136" s="40"/>
      <c r="M136" s="41">
        <f>-5628915.23</f>
        <v>-5628915.23</v>
      </c>
      <c r="N136" s="41"/>
      <c r="O136" s="41">
        <f>-2859828.38</f>
        <v>-2859828.38</v>
      </c>
      <c r="P136" s="41"/>
      <c r="Q136" s="41"/>
      <c r="R136" s="41"/>
      <c r="S136" s="41"/>
      <c r="T136" s="42" t="s">
        <v>36</v>
      </c>
      <c r="U136" s="42"/>
    </row>
    <row r="137" spans="1:21" s="1" customFormat="1" ht="13.5" customHeight="1">
      <c r="A137" s="7" t="s">
        <v>10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12" t="s">
        <v>207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s="1" customFormat="1" ht="45.75" customHeight="1">
      <c r="A139" s="13" t="s">
        <v>22</v>
      </c>
      <c r="B139" s="13"/>
      <c r="C139" s="13"/>
      <c r="D139" s="13"/>
      <c r="E139" s="13"/>
      <c r="F139" s="13"/>
      <c r="G139" s="13"/>
      <c r="H139" s="13" t="s">
        <v>23</v>
      </c>
      <c r="I139" s="13"/>
      <c r="J139" s="13" t="s">
        <v>208</v>
      </c>
      <c r="K139" s="13"/>
      <c r="L139" s="14" t="s">
        <v>25</v>
      </c>
      <c r="M139" s="14"/>
      <c r="N139" s="14" t="s">
        <v>26</v>
      </c>
      <c r="O139" s="14"/>
      <c r="P139" s="14"/>
      <c r="Q139" s="14"/>
      <c r="R139" s="14"/>
      <c r="S139" s="15" t="s">
        <v>27</v>
      </c>
      <c r="T139" s="15"/>
      <c r="U139" s="15"/>
    </row>
    <row r="140" spans="1:21" s="1" customFormat="1" ht="12.75" customHeight="1">
      <c r="A140" s="16" t="s">
        <v>28</v>
      </c>
      <c r="B140" s="16"/>
      <c r="C140" s="16"/>
      <c r="D140" s="16"/>
      <c r="E140" s="16"/>
      <c r="F140" s="16"/>
      <c r="G140" s="16"/>
      <c r="H140" s="16" t="s">
        <v>29</v>
      </c>
      <c r="I140" s="16"/>
      <c r="J140" s="16" t="s">
        <v>30</v>
      </c>
      <c r="K140" s="16"/>
      <c r="L140" s="17" t="s">
        <v>31</v>
      </c>
      <c r="M140" s="17"/>
      <c r="N140" s="17" t="s">
        <v>32</v>
      </c>
      <c r="O140" s="17"/>
      <c r="P140" s="17"/>
      <c r="Q140" s="17"/>
      <c r="R140" s="17"/>
      <c r="S140" s="18" t="s">
        <v>33</v>
      </c>
      <c r="T140" s="18"/>
      <c r="U140" s="18"/>
    </row>
    <row r="141" spans="1:21" s="1" customFormat="1" ht="13.5" customHeight="1">
      <c r="A141" s="19" t="s">
        <v>209</v>
      </c>
      <c r="B141" s="19"/>
      <c r="C141" s="19"/>
      <c r="D141" s="19"/>
      <c r="E141" s="19"/>
      <c r="F141" s="19"/>
      <c r="G141" s="19"/>
      <c r="H141" s="20" t="s">
        <v>210</v>
      </c>
      <c r="I141" s="20"/>
      <c r="J141" s="20" t="s">
        <v>36</v>
      </c>
      <c r="K141" s="20"/>
      <c r="L141" s="43">
        <f>5628915.23</f>
        <v>5628915.23</v>
      </c>
      <c r="M141" s="43"/>
      <c r="N141" s="21">
        <f>2859828.38</f>
        <v>2859828.38</v>
      </c>
      <c r="O141" s="21"/>
      <c r="P141" s="21"/>
      <c r="Q141" s="21"/>
      <c r="R141" s="21"/>
      <c r="S141" s="44" t="s">
        <v>36</v>
      </c>
      <c r="T141" s="44"/>
      <c r="U141" s="44"/>
    </row>
    <row r="142" spans="1:21" s="1" customFormat="1" ht="13.5" customHeight="1">
      <c r="A142" s="45" t="s">
        <v>211</v>
      </c>
      <c r="B142" s="45"/>
      <c r="C142" s="45"/>
      <c r="D142" s="45"/>
      <c r="E142" s="45"/>
      <c r="F142" s="45"/>
      <c r="G142" s="45"/>
      <c r="H142" s="46" t="s">
        <v>10</v>
      </c>
      <c r="I142" s="46"/>
      <c r="J142" s="46" t="s">
        <v>10</v>
      </c>
      <c r="K142" s="46"/>
      <c r="L142" s="47" t="s">
        <v>10</v>
      </c>
      <c r="M142" s="47"/>
      <c r="N142" s="48" t="s">
        <v>10</v>
      </c>
      <c r="O142" s="48"/>
      <c r="P142" s="48"/>
      <c r="Q142" s="48"/>
      <c r="R142" s="48"/>
      <c r="S142" s="49" t="s">
        <v>10</v>
      </c>
      <c r="T142" s="49"/>
      <c r="U142" s="49"/>
    </row>
    <row r="143" spans="1:21" s="1" customFormat="1" ht="13.5" customHeight="1">
      <c r="A143" s="23" t="s">
        <v>212</v>
      </c>
      <c r="B143" s="23"/>
      <c r="C143" s="23"/>
      <c r="D143" s="23"/>
      <c r="E143" s="23"/>
      <c r="F143" s="23"/>
      <c r="G143" s="23"/>
      <c r="H143" s="50" t="s">
        <v>213</v>
      </c>
      <c r="I143" s="50"/>
      <c r="J143" s="24" t="s">
        <v>36</v>
      </c>
      <c r="K143" s="24"/>
      <c r="L143" s="51" t="s">
        <v>39</v>
      </c>
      <c r="M143" s="51"/>
      <c r="N143" s="26" t="s">
        <v>39</v>
      </c>
      <c r="O143" s="26"/>
      <c r="P143" s="26"/>
      <c r="Q143" s="26"/>
      <c r="R143" s="26"/>
      <c r="S143" s="52" t="s">
        <v>39</v>
      </c>
      <c r="T143" s="52"/>
      <c r="U143" s="52"/>
    </row>
    <row r="144" spans="1:21" s="1" customFormat="1" ht="13.5" customHeight="1">
      <c r="A144" s="31" t="s">
        <v>10</v>
      </c>
      <c r="B144" s="31"/>
      <c r="C144" s="31"/>
      <c r="D144" s="31"/>
      <c r="E144" s="31"/>
      <c r="F144" s="31"/>
      <c r="G144" s="31"/>
      <c r="H144" s="32" t="s">
        <v>213</v>
      </c>
      <c r="I144" s="32"/>
      <c r="J144" s="32" t="s">
        <v>10</v>
      </c>
      <c r="K144" s="32"/>
      <c r="L144" s="53" t="s">
        <v>39</v>
      </c>
      <c r="M144" s="53"/>
      <c r="N144" s="36" t="s">
        <v>39</v>
      </c>
      <c r="O144" s="36"/>
      <c r="P144" s="36"/>
      <c r="Q144" s="36"/>
      <c r="R144" s="36"/>
      <c r="S144" s="54" t="s">
        <v>39</v>
      </c>
      <c r="T144" s="54"/>
      <c r="U144" s="54"/>
    </row>
    <row r="145" spans="1:21" s="1" customFormat="1" ht="13.5" customHeight="1">
      <c r="A145" s="31" t="s">
        <v>214</v>
      </c>
      <c r="B145" s="31"/>
      <c r="C145" s="31"/>
      <c r="D145" s="31"/>
      <c r="E145" s="31"/>
      <c r="F145" s="31"/>
      <c r="G145" s="31"/>
      <c r="H145" s="46" t="s">
        <v>215</v>
      </c>
      <c r="I145" s="46"/>
      <c r="J145" s="46" t="s">
        <v>36</v>
      </c>
      <c r="K145" s="46"/>
      <c r="L145" s="47" t="s">
        <v>39</v>
      </c>
      <c r="M145" s="47"/>
      <c r="N145" s="36" t="s">
        <v>39</v>
      </c>
      <c r="O145" s="36"/>
      <c r="P145" s="36"/>
      <c r="Q145" s="36"/>
      <c r="R145" s="36"/>
      <c r="S145" s="49" t="s">
        <v>39</v>
      </c>
      <c r="T145" s="49"/>
      <c r="U145" s="49"/>
    </row>
    <row r="146" spans="1:21" s="1" customFormat="1" ht="13.5" customHeight="1">
      <c r="A146" s="31" t="s">
        <v>10</v>
      </c>
      <c r="B146" s="31"/>
      <c r="C146" s="31"/>
      <c r="D146" s="31"/>
      <c r="E146" s="31"/>
      <c r="F146" s="31"/>
      <c r="G146" s="31"/>
      <c r="H146" s="32" t="s">
        <v>215</v>
      </c>
      <c r="I146" s="32"/>
      <c r="J146" s="32" t="s">
        <v>10</v>
      </c>
      <c r="K146" s="32"/>
      <c r="L146" s="53" t="s">
        <v>39</v>
      </c>
      <c r="M146" s="53"/>
      <c r="N146" s="36" t="s">
        <v>39</v>
      </c>
      <c r="O146" s="36"/>
      <c r="P146" s="36"/>
      <c r="Q146" s="36"/>
      <c r="R146" s="36"/>
      <c r="S146" s="54" t="s">
        <v>39</v>
      </c>
      <c r="T146" s="54"/>
      <c r="U146" s="54"/>
    </row>
    <row r="147" spans="1:21" s="1" customFormat="1" ht="13.5" customHeight="1">
      <c r="A147" s="31" t="s">
        <v>216</v>
      </c>
      <c r="B147" s="31"/>
      <c r="C147" s="31"/>
      <c r="D147" s="31"/>
      <c r="E147" s="31"/>
      <c r="F147" s="31"/>
      <c r="G147" s="31"/>
      <c r="H147" s="32" t="s">
        <v>217</v>
      </c>
      <c r="I147" s="32"/>
      <c r="J147" s="32" t="s">
        <v>218</v>
      </c>
      <c r="K147" s="32"/>
      <c r="L147" s="55">
        <f>5628915.23</f>
        <v>5628915.23</v>
      </c>
      <c r="M147" s="55"/>
      <c r="N147" s="34">
        <f>2859828.38</f>
        <v>2859828.38</v>
      </c>
      <c r="O147" s="34"/>
      <c r="P147" s="34"/>
      <c r="Q147" s="34"/>
      <c r="R147" s="34"/>
      <c r="S147" s="56">
        <f>2769086.85</f>
        <v>2769086.85</v>
      </c>
      <c r="T147" s="56"/>
      <c r="U147" s="56"/>
    </row>
    <row r="148" spans="1:21" s="1" customFormat="1" ht="13.5" customHeight="1">
      <c r="A148" s="31" t="s">
        <v>219</v>
      </c>
      <c r="B148" s="31"/>
      <c r="C148" s="31"/>
      <c r="D148" s="31"/>
      <c r="E148" s="31"/>
      <c r="F148" s="31"/>
      <c r="G148" s="31"/>
      <c r="H148" s="32" t="s">
        <v>220</v>
      </c>
      <c r="I148" s="32"/>
      <c r="J148" s="32" t="s">
        <v>221</v>
      </c>
      <c r="K148" s="32"/>
      <c r="L148" s="55">
        <f>-75521414.71</f>
        <v>-75521414.71</v>
      </c>
      <c r="M148" s="55"/>
      <c r="N148" s="34">
        <f>-52653581.74</f>
        <v>-52653581.74</v>
      </c>
      <c r="O148" s="34"/>
      <c r="P148" s="34"/>
      <c r="Q148" s="34"/>
      <c r="R148" s="34"/>
      <c r="S148" s="57" t="s">
        <v>36</v>
      </c>
      <c r="T148" s="57"/>
      <c r="U148" s="57"/>
    </row>
    <row r="149" spans="1:21" s="1" customFormat="1" ht="13.5" customHeight="1">
      <c r="A149" s="31" t="s">
        <v>222</v>
      </c>
      <c r="B149" s="31"/>
      <c r="C149" s="31"/>
      <c r="D149" s="31"/>
      <c r="E149" s="31"/>
      <c r="F149" s="31"/>
      <c r="G149" s="31"/>
      <c r="H149" s="32" t="s">
        <v>223</v>
      </c>
      <c r="I149" s="32"/>
      <c r="J149" s="32" t="s">
        <v>224</v>
      </c>
      <c r="K149" s="32"/>
      <c r="L149" s="55">
        <f>81150329.94</f>
        <v>81150329.94</v>
      </c>
      <c r="M149" s="55"/>
      <c r="N149" s="34">
        <f>55513410.12</f>
        <v>55513410.12</v>
      </c>
      <c r="O149" s="34"/>
      <c r="P149" s="34"/>
      <c r="Q149" s="34"/>
      <c r="R149" s="34"/>
      <c r="S149" s="57" t="s">
        <v>36</v>
      </c>
      <c r="T149" s="57"/>
      <c r="U149" s="57"/>
    </row>
    <row r="150" spans="1:21" s="1" customFormat="1" ht="13.5" customHeight="1">
      <c r="A150" s="58" t="s">
        <v>10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1:21" s="1" customFormat="1" ht="15.75" customHeight="1">
      <c r="A151" s="7" t="s">
        <v>10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59" t="s">
        <v>225</v>
      </c>
      <c r="B152" s="59"/>
      <c r="C152" s="59"/>
      <c r="D152" s="59"/>
      <c r="E152" s="59"/>
      <c r="F152" s="7" t="s">
        <v>10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s="1" customFormat="1" ht="13.5" customHeight="1">
      <c r="A153" s="4" t="s">
        <v>226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</sheetData>
  <sheetProtection/>
  <mergeCells count="935">
    <mergeCell ref="A150:U150"/>
    <mergeCell ref="A151:U151"/>
    <mergeCell ref="A152:E152"/>
    <mergeCell ref="F152:U152"/>
    <mergeCell ref="A153:U153"/>
    <mergeCell ref="A149:G149"/>
    <mergeCell ref="H149:I149"/>
    <mergeCell ref="J149:K149"/>
    <mergeCell ref="L149:M149"/>
    <mergeCell ref="N149:R149"/>
    <mergeCell ref="S149:U149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T136:U136"/>
    <mergeCell ref="A137:U137"/>
    <mergeCell ref="A138:U138"/>
    <mergeCell ref="A139:G139"/>
    <mergeCell ref="H139:I139"/>
    <mergeCell ref="J139:K139"/>
    <mergeCell ref="L139:M139"/>
    <mergeCell ref="N139:R139"/>
    <mergeCell ref="S139:U139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2023-10-19T08:47:01Z</dcterms:created>
  <dcterms:modified xsi:type="dcterms:W3CDTF">2023-10-19T08:47:01Z</dcterms:modified>
  <cp:category/>
  <cp:version/>
  <cp:contentType/>
  <cp:contentStatus/>
</cp:coreProperties>
</file>