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8208" activeTab="0"/>
  </bookViews>
  <sheets>
    <sheet name="рабочая" sheetId="1" r:id="rId1"/>
    <sheet name="Лист1" sheetId="2" r:id="rId2"/>
  </sheets>
  <definedNames>
    <definedName name="Z_1F4C5F8E_6112_43D3_B718_39064D2343C7_.wvu.Cols" localSheetId="0" hidden="1">'рабочая'!$B:$H,'рабочая'!$Z:$Z</definedName>
    <definedName name="Z_1F4C5F8E_6112_43D3_B718_39064D2343C7_.wvu.PrintArea" localSheetId="0" hidden="1">'рабочая'!$A$1:$Y$113</definedName>
    <definedName name="Z_2E1D9174_21EC_42D6_ADD2_84CA0F0BCAB9_.wvu.Cols" localSheetId="0" hidden="1">'рабочая'!$B:$H</definedName>
    <definedName name="Z_2E1D9174_21EC_42D6_ADD2_84CA0F0BCAB9_.wvu.PrintTitles" localSheetId="0" hidden="1">'рабочая'!$11:$11</definedName>
    <definedName name="Z_377864F3_3E9F_40AF_8579_494F937B97C0_.wvu.Cols" localSheetId="0" hidden="1">'рабочая'!$B:$H</definedName>
    <definedName name="Z_377864F3_3E9F_40AF_8579_494F937B97C0_.wvu.PrintArea" localSheetId="0" hidden="1">'рабочая'!$A$1:$AG$113</definedName>
    <definedName name="Z_377864F3_3E9F_40AF_8579_494F937B97C0_.wvu.PrintTitles" localSheetId="0" hidden="1">'рабочая'!$11:$11</definedName>
    <definedName name="Z_6FC52A10_CF1F_45D3_84A0_F8B9734A7481_.wvu.Cols" localSheetId="0" hidden="1">'рабочая'!$B:$H</definedName>
    <definedName name="Z_6FC52A10_CF1F_45D3_84A0_F8B9734A7481_.wvu.PrintArea" localSheetId="0" hidden="1">'рабочая'!$A$1:$O$113</definedName>
    <definedName name="Z_6FC52A10_CF1F_45D3_84A0_F8B9734A7481_.wvu.PrintTitles" localSheetId="0" hidden="1">'рабочая'!$11:$11</definedName>
    <definedName name="Z_A29E6294_76AB_42A6_B25E_043B32B7561F_.wvu.Cols" localSheetId="0" hidden="1">'рабочая'!$B:$H</definedName>
    <definedName name="Z_A29E6294_76AB_42A6_B25E_043B32B7561F_.wvu.PrintArea" localSheetId="0" hidden="1">'рабочая'!$A$1:$Z$113</definedName>
    <definedName name="Z_C501CC80_2234_4C85_A981_091BE8CE16EA_.wvu.Rows" localSheetId="0" hidden="1">'рабочая'!$2:$5</definedName>
    <definedName name="А1">#REF!</definedName>
    <definedName name="_xlnm.Print_Titles" localSheetId="0">'рабочая'!$12:$12</definedName>
    <definedName name="_xlnm.Print_Area" localSheetId="0">'рабочая'!$A$1:$Z$113</definedName>
  </definedNames>
  <calcPr fullCalcOnLoad="1"/>
</workbook>
</file>

<file path=xl/sharedStrings.xml><?xml version="1.0" encoding="utf-8"?>
<sst xmlns="http://schemas.openxmlformats.org/spreadsheetml/2006/main" count="783" uniqueCount="421">
  <si>
    <r>
      <t>P</t>
    </r>
    <r>
      <rPr>
        <sz val="9"/>
        <rFont val="Times New Roman"/>
        <family val="1"/>
      </rPr>
      <t>6</t>
    </r>
    <r>
      <rPr>
        <sz val="12"/>
        <rFont val="Times New Roman"/>
        <family val="1"/>
      </rPr>
      <t xml:space="preserve"> =100* 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ХМАО-Югры;
К - количество писем о представлении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  </r>
  </si>
  <si>
    <t>P5 = ∑ Pi /Р где:
Pi = 100 *  (Di / Ni), где:
i - расходное обязательство;
Di - количество нормативных правовых актов соответсвующих действующему законодальству в i-м расходном обязательстве; 
Ni - общее количество нормативных правовых актов  в i-м расходном обязательстве; 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</si>
  <si>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r>
      <t>Р</t>
    </r>
    <r>
      <rPr>
        <sz val="9"/>
        <rFont val="Times New Roman"/>
        <family val="1"/>
      </rPr>
      <t xml:space="preserve">20 </t>
    </r>
    <r>
      <rPr>
        <sz val="12"/>
        <rFont val="Times New Roman"/>
        <family val="1"/>
      </rPr>
      <t>= 100* (D</t>
    </r>
    <r>
      <rPr>
        <sz val="8"/>
        <rFont val="Times New Roman"/>
        <family val="1"/>
      </rPr>
      <t xml:space="preserve">0 </t>
    </r>
    <r>
      <rPr>
        <sz val="12"/>
        <rFont val="Times New Roman"/>
        <family val="1"/>
      </rPr>
      <t>/ D</t>
    </r>
    <r>
      <rPr>
        <sz val="8"/>
        <rFont val="Times New Roman"/>
        <family val="1"/>
      </rPr>
      <t>1)</t>
    </r>
    <r>
      <rPr>
        <sz val="12"/>
        <rFont val="Times New Roman"/>
        <family val="1"/>
      </rPr>
      <t>, где:
D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 xml:space="preserve"> - фактический объём доходов, администрируемых ГАБС, без учёта безвозмездных и невыясненных поступлений на конец отчётного периода;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D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планируемый объём доходов, администрируемых ГАБС, без учёта безвозмездных поступлений  в отчётном периоде</t>
    </r>
  </si>
  <si>
    <t>Отсутствие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</si>
  <si>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</si>
  <si>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Доля специалистов экономических и бухгалтерских служб,  имеющих высшее образование, от общего количества специалистов экономических и бухгалтерских служб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</si>
  <si>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департамент финансов </t>
  </si>
  <si>
    <t>Доля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</si>
  <si>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r>
      <t>P</t>
    </r>
    <r>
      <rPr>
        <sz val="9"/>
        <rFont val="Times New Roman"/>
        <family val="1"/>
      </rPr>
      <t>12</t>
    </r>
    <r>
      <rPr>
        <sz val="12"/>
        <rFont val="Times New Roman"/>
        <family val="1"/>
      </rPr>
      <t xml:space="preserve">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</t>
    </r>
    <r>
      <rPr>
        <sz val="9"/>
        <rFont val="Times New Roman"/>
        <family val="1"/>
      </rPr>
      <t>o</t>
    </r>
    <r>
      <rPr>
        <sz val="12"/>
        <rFont val="Times New Roman"/>
        <family val="1"/>
      </rPr>
      <t xml:space="preserve"> - общая сумма бюджетных ассигнований на оказание муниципальных услуг (выполнение работ) физическим и юридическим лицам</t>
    </r>
  </si>
  <si>
    <t>показатель характеризует долю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</si>
  <si>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 xml:space="preserve">ГАБС не осуществляет оказание муниципальных услуг (выполнение работ) физическим и юридическим лицам </t>
  </si>
  <si>
    <t>Наличие выявленных нарушений по исполнению муниципальных заданий, выданных в рамках оказания муниципальных услуг (выполнения работ)</t>
  </si>
  <si>
    <t>Отсутствие выявленных нарушений по исполнению муниципальных заданий, выданных в рамках оказания муниципальных услуг (выполнения работ)</t>
  </si>
  <si>
    <t xml:space="preserve">Проведение ГАБС оценки потребности 
в оказании муниципальных услуг (выполнении работ) </t>
  </si>
  <si>
    <t>Оценки потребности в оказании муниципальных услуг (выполнении работ) проводится ГАБС</t>
  </si>
  <si>
    <t xml:space="preserve">Оценки потребности в оказании муниципальных услуг (выполнении работ) ГАБС не проводится </t>
  </si>
  <si>
    <t>показатель характеризует наличие/отсутствие результатов оценки потребности в оказании муниципальных услугах (выполнении работ) оказываемых юридическим и физическим лицам в соотвествии с муниципальным правовым актом</t>
  </si>
  <si>
    <t>показатель характеризует качество выполнения муниципальных заданий, выданных в рамках оказания муниципальных услуг (выполнения работ)</t>
  </si>
  <si>
    <t>Доля исполненных ГАБС исполнительных документов в общем объёме предъявленных к взысканию исполнительных документов</t>
  </si>
  <si>
    <t>показатель характеризует долю исполненных ГАБС исполнительных документов в общем объёме предъявленных к взысканию исполнительных документов</t>
  </si>
  <si>
    <r>
      <t>Р</t>
    </r>
    <r>
      <rPr>
        <sz val="9"/>
        <rFont val="Times New Roman"/>
        <family val="1"/>
      </rPr>
      <t>13</t>
    </r>
    <r>
      <rPr>
        <sz val="12"/>
        <rFont val="Times New Roman"/>
        <family val="1"/>
      </rPr>
      <t xml:space="preserve"> = 100 - (100 * (S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S)), где:
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объём внесённых положительных изменений в сводную бюджетную роспись и бюджетную роспись ГАБС  за исключением изменений в части субвенций, субсидий, иных межбюджетных трансфертов, резервного фонда Администрации города, иным образом зарезервированных средств, а также изменений утверждённых решением Думы города о бюджете;
S - объём бюджетных ассигнований по ГАБС с учётом изменений утверждённых решением Думы города о бюджете</t>
    </r>
  </si>
  <si>
    <r>
      <t>P</t>
    </r>
    <r>
      <rPr>
        <sz val="9"/>
        <rFont val="Times New Roman"/>
        <family val="1"/>
      </rPr>
      <t>15</t>
    </r>
    <r>
      <rPr>
        <sz val="12"/>
        <rFont val="Times New Roman"/>
        <family val="1"/>
      </rPr>
      <t xml:space="preserve">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бюджетных росписей, представленных ГАБС в департамент финансов с соблюдением сроков в отчётном периоде;
Р - количество бюджетных росписей, представленных ГАБС в департамент финансов в отчётном периоде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</si>
  <si>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=100*(Е – Еср) / Еср, где:
Е – объём кассовых расходов в IV квартале отчётного периода без учёта субвенций, субсидий и иных межбюджетных трансфертов из бюджета автономного округа, резервного фонда Администрации города, муниципальных гарантий;
Еср – средний объём кассовых расходов за I-III квартал отчётного периода без учёта субвенций, субсидий и иных межбюджетных трансфертов из бюджета автономного округа,резервного фонда Администрации города, муниципальных гарантий.
Еср = (R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>+ R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 xml:space="preserve"> + R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) / 3, где:
R1, R2, R3 - объём кассовых расходов за I, II, III квартал соответственно
</t>
    </r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</si>
  <si>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департамент финансов </t>
  </si>
  <si>
    <r>
      <t>P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</si>
  <si>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&lt;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</si>
  <si>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&lt; 48</t>
    </r>
  </si>
  <si>
    <r>
      <t>48 ≤ 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≤ 100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</si>
  <si>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&gt; 100</t>
    </r>
  </si>
  <si>
    <r>
      <t>95 ≤ Р</t>
    </r>
    <r>
      <rPr>
        <sz val="9"/>
        <rFont val="Times New Roman"/>
        <family val="1"/>
      </rPr>
      <t>20</t>
    </r>
    <r>
      <rPr>
        <sz val="12"/>
        <rFont val="Times New Roman"/>
        <family val="1"/>
      </rPr>
      <t xml:space="preserve"> ≤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>105</t>
    </r>
  </si>
  <si>
    <r>
      <t>85 &lt; P</t>
    </r>
    <r>
      <rPr>
        <sz val="9"/>
        <rFont val="Times New Roman"/>
        <family val="1"/>
      </rPr>
      <t>20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&lt; 95</t>
    </r>
  </si>
  <si>
    <r>
      <t>105 &lt; Р</t>
    </r>
    <r>
      <rPr>
        <sz val="9"/>
        <rFont val="Times New Roman"/>
        <family val="1"/>
      </rPr>
      <t xml:space="preserve">20 </t>
    </r>
    <r>
      <rPr>
        <sz val="12"/>
        <rFont val="Times New Roman"/>
        <family val="1"/>
      </rPr>
      <t>≤ 115</t>
    </r>
  </si>
  <si>
    <r>
      <t>P</t>
    </r>
    <r>
      <rPr>
        <sz val="9"/>
        <rFont val="Times New Roman"/>
        <family val="1"/>
      </rPr>
      <t>20</t>
    </r>
    <r>
      <rPr>
        <sz val="12"/>
        <rFont val="Times New Roman"/>
        <family val="1"/>
      </rPr>
      <t xml:space="preserve"> &gt; 115</t>
    </r>
  </si>
  <si>
    <r>
      <t>P</t>
    </r>
    <r>
      <rPr>
        <sz val="9"/>
        <rFont val="Times New Roman"/>
        <family val="1"/>
      </rPr>
      <t>31</t>
    </r>
    <r>
      <rPr>
        <sz val="12"/>
        <rFont val="Times New Roman"/>
        <family val="1"/>
      </rPr>
      <t xml:space="preserve"> = 100 - N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3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4</t>
    </r>
    <r>
      <rPr>
        <sz val="12"/>
        <rFont val="Times New Roman"/>
        <family val="1"/>
      </rPr>
      <t>, где:
N</t>
    </r>
    <r>
      <rPr>
        <sz val="10"/>
        <rFont val="Times New Roman"/>
        <family val="1"/>
      </rPr>
      <t xml:space="preserve">1 </t>
    </r>
    <r>
      <rPr>
        <sz val="12"/>
        <rFont val="Times New Roman"/>
        <family val="1"/>
      </rPr>
      <t>- наличие нарушений, в части несоблюдения нормативных, правовых и законодательных актов;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- наличие нарушений, в части нецелевого использования бюджетных средств;
N</t>
    </r>
    <r>
      <rPr>
        <sz val="10"/>
        <rFont val="Times New Roman"/>
        <family val="1"/>
      </rPr>
      <t>3</t>
    </r>
    <r>
      <rPr>
        <sz val="12"/>
        <rFont val="Times New Roman"/>
        <family val="1"/>
      </rPr>
      <t xml:space="preserve"> - наличине нарушений, в части необоснованного использования денежных средств;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- наличие нарушений, в части неэффективного использования бюджетных средств</t>
    </r>
  </si>
  <si>
    <t>Р32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</si>
  <si>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контрольно-ревизионным управлением;
V - общий объём направленных предписаний для принятия мер по устранению выявленных нарушений контрольно-ревизионным управлением</t>
  </si>
  <si>
    <r>
      <t>Р</t>
    </r>
    <r>
      <rPr>
        <sz val="9"/>
        <rFont val="Times New Roman"/>
        <family val="1"/>
      </rPr>
      <t>36</t>
    </r>
  </si>
  <si>
    <r>
      <t>Р</t>
    </r>
    <r>
      <rPr>
        <sz val="9"/>
        <rFont val="Times New Roman"/>
        <family val="1"/>
      </rPr>
      <t>37</t>
    </r>
  </si>
  <si>
    <t>Распоряжение Администрации города Сургута "Об утверждении сроков составления проекта бюджета городского округа город Сургут на очередной финансовый год и плановый период";
Письмо департамента финансов "О предварительных предельных объемах бюджетных ассигнований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</si>
  <si>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Приказ департамента финансов Администрации города "О Порядке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бюджета)";
Письма ГАБС "О представлении бюджетной росписи на очередной, текущий финансовый год, плановый период"</t>
  </si>
  <si>
    <t>Доля исполненных бюджетных ассигнований без учёта межбюджетных трансфертов из бюджета автономного округа</t>
  </si>
  <si>
    <t xml:space="preserve">Процент исполнения доходов, администрируемых ГАБС 
</t>
  </si>
  <si>
    <r>
      <t>P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</si>
  <si>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&lt;</t>
    </r>
    <r>
      <rPr>
        <sz val="12"/>
        <rFont val="Times New Roman"/>
        <family val="1"/>
      </rPr>
      <t xml:space="preserve"> 95</t>
    </r>
  </si>
  <si>
    <r>
      <t>(1 - ( (95 - Р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>) / 95) * 100</t>
    </r>
  </si>
  <si>
    <r>
      <t>Р29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= 100* (Р1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/ Р</t>
    </r>
    <r>
      <rPr>
        <sz val="8"/>
        <rFont val="Times New Roman"/>
        <family val="1"/>
      </rPr>
      <t>)</t>
    </r>
    <r>
      <rPr>
        <sz val="12"/>
        <rFont val="Times New Roman"/>
        <family val="1"/>
      </rPr>
      <t>, где:
Р1- кассовое исполнение  на конец отчётного периода по остаткам межбюджетных трансфертов, сложившихся на начало финансового года;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Р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плановый объём остатков межбюджетных трансфертов, сложившихся на начало финансового года.</t>
    </r>
  </si>
  <si>
    <t>Оценка качества планирования расходов бюджета</t>
  </si>
  <si>
    <r>
      <t>Р</t>
    </r>
    <r>
      <rPr>
        <sz val="9"/>
        <rFont val="Times New Roman"/>
        <family val="1"/>
      </rPr>
      <t>36</t>
    </r>
    <r>
      <rPr>
        <sz val="12"/>
        <rFont val="Times New Roman"/>
        <family val="1"/>
      </rPr>
      <t xml:space="preserve"> = 100 * ( n / N), где: 
n -  объём исполненных ГАБС исполнительных документов;
N - общий объём предъявленных ко взысканию исполнительных документов</t>
    </r>
  </si>
  <si>
    <r>
      <t>Р</t>
    </r>
    <r>
      <rPr>
        <sz val="9"/>
        <rFont val="Times New Roman"/>
        <family val="1"/>
      </rPr>
      <t>37</t>
    </r>
    <r>
      <rPr>
        <sz val="12"/>
        <rFont val="Times New Roman"/>
        <family val="1"/>
      </rPr>
      <t xml:space="preserve">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  </r>
  </si>
  <si>
    <r>
      <t>Р</t>
    </r>
    <r>
      <rPr>
        <sz val="9"/>
        <rFont val="Times New Roman"/>
        <family val="1"/>
      </rPr>
      <t>38</t>
    </r>
  </si>
  <si>
    <r>
      <t>Р</t>
    </r>
    <r>
      <rPr>
        <sz val="9"/>
        <rFont val="Times New Roman"/>
        <family val="1"/>
      </rPr>
      <t>38</t>
    </r>
    <r>
      <rPr>
        <sz val="12"/>
        <rFont val="Times New Roman"/>
        <family val="1"/>
      </rPr>
      <t xml:space="preserve">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  </r>
  </si>
  <si>
    <r>
      <t>P</t>
    </r>
    <r>
      <rPr>
        <sz val="9"/>
        <rFont val="Times New Roman"/>
        <family val="1"/>
      </rPr>
      <t>22</t>
    </r>
    <r>
      <rPr>
        <sz val="12"/>
        <rFont val="Times New Roman"/>
        <family val="1"/>
      </rPr>
      <t xml:space="preserve">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департамент финансов </t>
    </r>
  </si>
  <si>
    <r>
      <t>P</t>
    </r>
    <r>
      <rPr>
        <sz val="9"/>
        <rFont val="Times New Roman"/>
        <family val="1"/>
      </rPr>
      <t xml:space="preserve">23 </t>
    </r>
    <r>
      <rPr>
        <sz val="12"/>
        <rFont val="Times New Roman"/>
        <family val="1"/>
      </rPr>
      <t>= 100 * (N / n), где:
N - количество выполненных показателей результатов достижения цели/деятельности по оказанию муниципальных услуг (выполнению работ) долгосрочных/ведомственных целевых программ;
n - общее количество утвержденных показателей долгосрочных/ведомственных целевых программ</t>
    </r>
  </si>
  <si>
    <r>
      <t>Р</t>
    </r>
    <r>
      <rPr>
        <sz val="9"/>
        <rFont val="Times New Roman"/>
        <family val="1"/>
      </rPr>
      <t xml:space="preserve">25 </t>
    </r>
    <r>
      <rPr>
        <sz val="12"/>
        <rFont val="Times New Roman"/>
        <family val="1"/>
      </rPr>
      <t>= 100 * (n / N), где:
n - объём дебиторской задолженности по доходам на конец отчётного периода; 
N - общий объём доходов в отчётном периоде</t>
    </r>
  </si>
  <si>
    <r>
      <t>Р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= 100 * (n / N), где: 
n - объём дебиторской задолженности по расходам на конец отчётного периода;
N - общий объём расходов в отчётном периоде.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</si>
  <si>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= 100 * (n / N), где: 
n - объём кредиторской задолженности по расходам на конец отчётного периода; 
N -  общий объём расходов в отчётном периоде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</si>
  <si>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= 0</t>
    </r>
  </si>
  <si>
    <r>
      <t>0 &lt; 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≤ 0,5</t>
    </r>
  </si>
  <si>
    <r>
      <t>0,5 &lt; 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≤ 5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</si>
  <si>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&gt; 5</t>
    </r>
  </si>
  <si>
    <t>Соблюдение сроков представления ГАБС фрагмента реестра расходных обязательств в департамент финансов в целях подготовки реестра расходных обязательств городского
округа города Сургута и направления его в Департамент финансов              ХМАО-Югры</t>
  </si>
  <si>
    <r>
      <t>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= 100 * (E  / (b - s)), где:
b – объём бюджетных ассигнований ГАБС на конец отчётного периода согласно сводной бюджетной росписи бюджета города;
s - объём бюджетных ассигнований ГАБС за счёт субвенций, субсидий и иных межбюджетных трансфертов из бюджета автономного округа, резервного фонда Администрации города, на предоставление муниципальных гарантий;
Е - кассовое исполнение расходов ГАБС без учёта субвенций, субсидий и иных межбюджетных трансфертов из бюджета автономного округа на конец отчётного периода</t>
    </r>
  </si>
  <si>
    <r>
      <t>Р</t>
    </r>
    <r>
      <rPr>
        <sz val="9"/>
        <rFont val="Times New Roman"/>
        <family val="1"/>
      </rPr>
      <t>34</t>
    </r>
  </si>
  <si>
    <r>
      <t>Р</t>
    </r>
    <r>
      <rPr>
        <sz val="9"/>
        <rFont val="Times New Roman"/>
        <family val="1"/>
      </rPr>
      <t>35</t>
    </r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</si>
  <si>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доля бюджетных ассигнований на реализацию долгосрочных и ведомственных целевых программ, в общем объёме бюджетных ассигнований в отчётном периоде; 
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-  доля бюджетных ассигнований на реализацию долгосрочных и ведомственных целевых программ, в общем объёме бюджетных ассигнований в периоде предшествующем отчётному</t>
    </r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</si>
  <si>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департамент финансов. Целевым ориентиром для ГАБС является минимальное количество обращений.</t>
  </si>
  <si>
    <r>
      <t>P</t>
    </r>
    <r>
      <rPr>
        <sz val="9"/>
        <rFont val="Times New Roman"/>
        <family val="1"/>
      </rPr>
      <t>10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проектов долгосрочных и ведомственных целевых программ, получивших в отчётном периоде в департаменте по экономической политике положительное заключение при первичной экспертизе; 
N -   количество проектов долгосрочных и ведомственных целевых программ, представленных на первичную экспертизу в отчётном периоде в департамент по экономической политике</t>
    </r>
  </si>
  <si>
    <r>
      <t>1 - ( (95 - 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) / 95) * 100</t>
    </r>
  </si>
  <si>
    <r>
      <t>100 - (Р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- 48)</t>
    </r>
  </si>
  <si>
    <r>
      <t>5 &lt; 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&lt; 10</t>
    </r>
  </si>
  <si>
    <r>
      <t>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≤ 5</t>
    </r>
  </si>
  <si>
    <r>
      <t>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≥ 10</t>
    </r>
  </si>
  <si>
    <r>
      <t>5 &lt;  P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&lt; 10</t>
    </r>
  </si>
  <si>
    <r>
      <t>Р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≤ 5</t>
    </r>
  </si>
  <si>
    <r>
      <t>P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≥ 10</t>
    </r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</si>
  <si>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течении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</si>
  <si>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Сводная информация ГАБС по форме согласно приложению 3 к порядку проведения мониторинга качества финансового менеджмента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</si>
  <si>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 осуществляемого ГАБС </t>
  </si>
  <si>
    <t>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</si>
  <si>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Сургута"Об утверждении муниципального задания на оказание муниципальных услуг (выполнение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</si>
  <si>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 "Об утверждении реестра муниципальных услуг городского округа город Сургут";
Постановление Администрации города Сургута "Об утверждении порядка проведения оценки потребности в оказании муниципальных услуг (выполнении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</si>
  <si>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Приложение №2 "Основные виды нарушений по структурным подразделениям Администрации города и их подведомственных учреждений за соответствующий год"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</si>
  <si>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Приложение №3 "Сведения о принятых мерах по результатам ревизий (проверок) по структурным подразделениям Администрации города за отчётныё период"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</si>
  <si>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</si>
  <si>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 расчете показателя за год</t>
  </si>
  <si>
    <t>показатель характеризует использование остатков межбюджетных трансфертов, сложившихся на начало финансового года</t>
  </si>
  <si>
    <t>Процент  исполнения остатков межбюджетных трансфертов, сложившихся на начало финансового года и имеющих целевое назначение.</t>
  </si>
  <si>
    <t xml:space="preserve"> год</t>
  </si>
  <si>
    <t>Письма ГАБС "О внесении изменении в сводную бюджетную роспись, бюджетные росписи ГАБС"</t>
  </si>
  <si>
    <t xml:space="preserve">Автоматизированная система планирования и исполнения бюджета на основе программного обеспечения "Автоматизированный центр контроля"
</t>
  </si>
  <si>
    <t>Доля устранённых нарушений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</si>
  <si>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</si>
  <si>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№
 п/п.</t>
  </si>
  <si>
    <t>Приказ департамента финансов Администрации города Сургута "Об утверждении Порядка и Методики планирования бюджетных ассигнований городского округа город Сургут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</si>
  <si>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</si>
  <si>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</si>
  <si>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Доля утвержденных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</t>
  </si>
  <si>
    <t>Постановление Администрации города Сургута "Об утверждении реестра муниципальных услуг городского округа город Сургут";
Постановления Администрации города Сургута "Об утверждении стандартов качества (административных регламентов) муниципальных услуг (работ)"</t>
  </si>
  <si>
    <r>
      <t>P</t>
    </r>
    <r>
      <rPr>
        <sz val="9"/>
        <rFont val="Times New Roman"/>
        <family val="1"/>
      </rPr>
      <t xml:space="preserve">11 </t>
    </r>
    <r>
      <rPr>
        <sz val="12"/>
        <rFont val="Times New Roman"/>
        <family val="1"/>
      </rPr>
      <t>=  100 * (Sk / Y), где:
Sk - количество утверждённых стандартов качества (административных регламентов) муниципальных услуг (работ);
Y - количество муниципальных услуг (работ), включённых в установленном порядке в реестр муниципальных услуг (работ)</t>
    </r>
  </si>
  <si>
    <t xml:space="preserve">показатель характеризует долю утверждённых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
</t>
  </si>
  <si>
    <t>Отчеты об исполнении муниципальных заданий учреждений, в отношении которых ГАБС исполняет функции куратора</t>
  </si>
  <si>
    <t>P24 = 100 * (1-N /n), где
N - количество муниципальных заданий учреждений, в отношении которых ГАБС исполняет функции куратора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</si>
  <si>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показатель характеризует качество и полноту исполнения муниципального задания, т.е. качество оказания муниципальной услуги (работы), отраженной в данном муниципальном задании</t>
  </si>
  <si>
    <t>Автоматизированная система планирования и исполнения бюджета на основе программного обеспечения "Автоматизированный центр контроля";
Учёт отказов в регистрации бюджетных обязательств на бумажном носителе;
Приказ департамента финансов Администрации города "Об утверждении порядка исполнения бюджета городского округа город Сургут по расходам "</t>
  </si>
  <si>
    <t xml:space="preserve">Приказ департамента финансов Администрации города "Об утверждении порядка ведения, учёта и осуществления хранения документов департаментом финансов Администрации города по исполнению судебных актов, предусматривающих обращение взыскания на средства муниципального образования по денежным обязательствам муниципальных бюджетных учреждений" </t>
  </si>
  <si>
    <t>В структуре ГАБС отсутствуют экономическая и бухгалтерская службы</t>
  </si>
  <si>
    <t>показатель характеризует уровень образования специалистов экономических и бухгалтерских служб</t>
  </si>
  <si>
    <t>Уровень укомплектованности кадрами экономических и бухгалтерских служб</t>
  </si>
  <si>
    <t>показатель характеризует уровень укомплектованности кадрами экономических и бухгалтерских служб</t>
  </si>
  <si>
    <t>Отсутствие выявленных в ходе инвентаризации недостач и хищений денежных средств и материальных ценностей</t>
  </si>
  <si>
    <t>Наличие выявленных в ходе инвентаризации недостач и хищений денежных средств и материальных ценностей</t>
  </si>
  <si>
    <t>показатель характеризует своевременность представления фрагмента реестра расходных обязательств в департамент финансов</t>
  </si>
  <si>
    <t>Источники информации, используемые для расчёта, оценки показателя</t>
  </si>
  <si>
    <t>Код показателя</t>
  </si>
  <si>
    <t>год</t>
  </si>
  <si>
    <r>
      <t>Р</t>
    </r>
    <r>
      <rPr>
        <sz val="9"/>
        <rFont val="Times New Roman"/>
        <family val="1"/>
      </rPr>
      <t>3</t>
    </r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</si>
  <si>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</si>
  <si>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показатель характеризует своевременность представления ОБАС  в департамент финансов</t>
  </si>
  <si>
    <r>
      <t>Р</t>
    </r>
    <r>
      <rPr>
        <sz val="9"/>
        <rFont val="Times New Roman"/>
        <family val="1"/>
      </rPr>
      <t>4</t>
    </r>
  </si>
  <si>
    <r>
      <t>Р</t>
    </r>
    <r>
      <rPr>
        <sz val="9"/>
        <rFont val="Times New Roman"/>
        <family val="1"/>
      </rPr>
      <t>6</t>
    </r>
  </si>
  <si>
    <r>
      <t>Р</t>
    </r>
    <r>
      <rPr>
        <sz val="9"/>
        <rFont val="Times New Roman"/>
        <family val="1"/>
      </rPr>
      <t>7</t>
    </r>
  </si>
  <si>
    <t>полугодие, год</t>
  </si>
  <si>
    <r>
      <t>Р</t>
    </r>
    <r>
      <rPr>
        <sz val="9"/>
        <rFont val="Times New Roman"/>
        <family val="1"/>
      </rPr>
      <t>9</t>
    </r>
  </si>
  <si>
    <t>Справочно-правовая система "Гарант";
Письмо ГАБС "О представлении фрагмента реестра расходных обязательств"</t>
  </si>
  <si>
    <t>Изменение доли бюджетных ассигнований на реализацию долгосрочных и  ведомственных целевых программ в общем объёме бюджетных ассигнований</t>
  </si>
  <si>
    <t>Решение Думы города Сургута "О бюджете городского округа город Сургут на очередной финансовый год и плановый период";
Автоматизированная система планирования и исполнения бюджета на основе программного обеспечения "Автоматизированный центр контроля"</t>
  </si>
  <si>
    <t>показатель характеризует увеличение/уменьшение доли бюджетных ассигнований на реализацию долгосрочных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</si>
  <si>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r>
      <t>Р</t>
    </r>
    <r>
      <rPr>
        <sz val="9"/>
        <rFont val="Times New Roman"/>
        <family val="1"/>
      </rPr>
      <t>11</t>
    </r>
  </si>
  <si>
    <r>
      <t>Р</t>
    </r>
    <r>
      <rPr>
        <sz val="9"/>
        <rFont val="Times New Roman"/>
        <family val="1"/>
      </rPr>
      <t>15</t>
    </r>
  </si>
  <si>
    <t xml:space="preserve">показатель характеризует полноту, соответствие/несоответствие представленных в департамент финансов документов, входящих в состав ОБАС </t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</si>
  <si>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&gt; 100</t>
    </r>
  </si>
  <si>
    <r>
      <t>P</t>
    </r>
    <r>
      <rPr>
        <sz val="9"/>
        <rFont val="Times New Roman"/>
        <family val="1"/>
      </rPr>
      <t xml:space="preserve">9 </t>
    </r>
    <r>
      <rPr>
        <sz val="12"/>
        <rFont val="Times New Roman"/>
        <family val="1"/>
      </rPr>
      <t>= 100</t>
    </r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</si>
  <si>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&lt; 100</t>
    </r>
  </si>
  <si>
    <t>Бюджетные ассигнования на реализацию долгосрочных и ведомственных целевых программ в общем объёме расходов отсутствуют</t>
  </si>
  <si>
    <t>Муниципальные услуги (работы) включённые в установленном порядке в реестр муниципальных услуг (работ) отсутствуют</t>
  </si>
  <si>
    <t>Соблюдение сроков представления утверждённой бюджетной росписи в департамент финансов</t>
  </si>
  <si>
    <t>показатель характеризует своевременность представления утвержденной бюджетной росписи в департамент финансов</t>
  </si>
  <si>
    <r>
      <t>Р</t>
    </r>
    <r>
      <rPr>
        <sz val="9"/>
        <rFont val="Times New Roman"/>
        <family val="1"/>
      </rPr>
      <t>18</t>
    </r>
  </si>
  <si>
    <r>
      <t>Р</t>
    </r>
    <r>
      <rPr>
        <sz val="9"/>
        <rFont val="Times New Roman"/>
        <family val="1"/>
      </rPr>
      <t>20</t>
    </r>
  </si>
  <si>
    <t>Автоматизированная система планирования и исполнения бюджета на основе программного обеспечения "Автоматизированный центр контроля"</t>
  </si>
  <si>
    <r>
      <t>Р</t>
    </r>
    <r>
      <rPr>
        <sz val="9"/>
        <rFont val="Times New Roman"/>
        <family val="1"/>
      </rPr>
      <t>23</t>
    </r>
  </si>
  <si>
    <t>Оценка результатов исполнения бюджета</t>
  </si>
  <si>
    <r>
      <t>Р</t>
    </r>
    <r>
      <rPr>
        <sz val="9"/>
        <rFont val="Times New Roman"/>
        <family val="1"/>
      </rPr>
      <t>25</t>
    </r>
  </si>
  <si>
    <r>
      <t>Р</t>
    </r>
    <r>
      <rPr>
        <sz val="9"/>
        <rFont val="Times New Roman"/>
        <family val="1"/>
      </rPr>
      <t>26</t>
    </r>
  </si>
  <si>
    <t>Доля дебиторской задолженности по доходам в общем объёме доходов</t>
  </si>
  <si>
    <r>
      <t>Р</t>
    </r>
    <r>
      <rPr>
        <sz val="9"/>
        <rFont val="Times New Roman"/>
        <family val="1"/>
      </rPr>
      <t>27</t>
    </r>
  </si>
  <si>
    <t>Доля кредиторской задолженности по расходам в общем объёме расходов</t>
  </si>
  <si>
    <r>
      <t>Р</t>
    </r>
    <r>
      <rPr>
        <sz val="9"/>
        <rFont val="Times New Roman"/>
        <family val="1"/>
      </rPr>
      <t>31</t>
    </r>
  </si>
  <si>
    <t>Наличие нарушений, выявленных контрольно-ревизионным управлением в ходе проверок</t>
  </si>
  <si>
    <t xml:space="preserve">показатель характеризует качество ведомственного финансового контроля ГАБС в части регистрации бюджетных обязательств 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</si>
  <si>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</si>
  <si>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 xml:space="preserve">показатель характеризует актуальность нормативно-правовой базы фрагмента реестра расходных обязательств </t>
  </si>
  <si>
    <t>Форма по ОКУД 0503128 "Отчёт о принятых бюджетных обязательствах"</t>
  </si>
  <si>
    <t>Форма по ОКУД 0503164 "Сведения об исполнения бюджета";
Автоматизированная система планирования и исполнения бюджета на основе программного обеспечения "Автоматизированный центр контроля"</t>
  </si>
  <si>
    <t>Форма по ОКУД 0503127 "Отчёт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бюджета";
Форма по ОКУД 0503169 "Сведения по дебиторской и кредиторской задолженности"</t>
  </si>
  <si>
    <t>Форма по ОКУД 0503176 "Сведения о недостачах и хищениях денежных средств и материальных ценностей"</t>
  </si>
  <si>
    <t>1.1.</t>
  </si>
  <si>
    <t>Соблюдение сроков представления в департамент по экономической политике информации, необходимой для разработки прогноза социально-экономического развития города</t>
  </si>
  <si>
    <r>
      <t>Р</t>
    </r>
    <r>
      <rPr>
        <sz val="9"/>
        <rFont val="Times New Roman"/>
        <family val="1"/>
      </rPr>
      <t>1</t>
    </r>
  </si>
  <si>
    <t>Постановление Администрации города Сургута "Об утверждении порядка разработки прогноза социально-экономического развития муниципального образования городской округ город Сургут";
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</si>
  <si>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дней отклонения даты представления ГАБС информации, необходимой для разработки прогноза социально-экономического развития города, от установленной даты представления информации</t>
    </r>
  </si>
  <si>
    <t xml:space="preserve">показатель характеризует своевременность представления в департамент по экономической политике информации, необходимой для разработки прогноза социально-экономического развития города </t>
  </si>
  <si>
    <r>
      <t>Р</t>
    </r>
    <r>
      <rPr>
        <sz val="9"/>
        <rFont val="Times New Roman"/>
        <family val="1"/>
      </rPr>
      <t xml:space="preserve">1 </t>
    </r>
    <r>
      <rPr>
        <sz val="12"/>
        <rFont val="Times New Roman"/>
        <family val="1"/>
      </rPr>
      <t>= 0</t>
    </r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</si>
  <si>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≥ 1</t>
    </r>
  </si>
  <si>
    <t>Представление информации ГАБС не требуется</t>
  </si>
  <si>
    <t>1.2.</t>
  </si>
  <si>
    <t>Достоверность и полнота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</si>
  <si>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r>
      <t>Р</t>
    </r>
    <r>
      <rPr>
        <sz val="9"/>
        <rFont val="Times New Roman"/>
        <family val="1"/>
      </rPr>
      <t>2</t>
    </r>
  </si>
  <si>
    <t>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</si>
  <si>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Достоверность и полнота представленной информации</t>
  </si>
  <si>
    <t>показатель характеризует достоверность и полноту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</si>
  <si>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Недостоверность и (или) неполное представление информации</t>
  </si>
  <si>
    <r>
      <t>Р7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расходных обязательств  c полным отражением всех применяемых кодов  расходов бюджетной классификации по расходным обязательствам в фрагменте реестра расходных обязательств ГАБС;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
</t>
    </r>
  </si>
  <si>
    <t>D1=0</t>
  </si>
  <si>
    <r>
      <t>P</t>
    </r>
    <r>
      <rPr>
        <sz val="9"/>
        <rFont val="Times New Roman"/>
        <family val="1"/>
      </rPr>
      <t>20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≤ 85</t>
    </r>
  </si>
  <si>
    <t>Результативность исполнения муниципальных заданий на оказание (исполнение) муниципальных услуг муниципальными учреждениями</t>
  </si>
  <si>
    <t>Р24</t>
  </si>
  <si>
    <t>Р28</t>
  </si>
  <si>
    <r>
      <t>P28= 100-(100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обращений, направленных соответствующим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бюджете;
Р - общее количество обращений, направленных всеми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бюджете.</t>
    </r>
  </si>
  <si>
    <t>Р29</t>
  </si>
  <si>
    <r>
      <t>Р29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= 100* (Р1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/ Р</t>
    </r>
    <r>
      <rPr>
        <sz val="8"/>
        <rFont val="Times New Roman"/>
        <family val="1"/>
      </rPr>
      <t>)</t>
    </r>
    <r>
      <rPr>
        <sz val="12"/>
        <rFont val="Times New Roman"/>
        <family val="1"/>
      </rPr>
      <t>, где:
Р1- кассовое исполнение на конец отчётного периода по остаткам межбюджетных трансфертов, сложившихся на начало финансового года;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Р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плановый объём остатков межбюджетных трансфертов, сложившихся на начало финансового года.</t>
    </r>
  </si>
  <si>
    <t>показатель характеризует наличие/отсутствие выявленных в ходе инвентаризации недостач и хищений денежных средств и материальных ценностей</t>
  </si>
  <si>
    <t>Отчётный период</t>
  </si>
  <si>
    <t>Наименование показателя</t>
  </si>
  <si>
    <t>Расчёт показателя и параметры его оценки</t>
  </si>
  <si>
    <r>
      <t>N</t>
    </r>
    <r>
      <rPr>
        <sz val="10"/>
        <rFont val="Times New Roman"/>
        <family val="1"/>
      </rPr>
      <t>1</t>
    </r>
    <r>
      <rPr>
        <sz val="12"/>
        <rFont val="Times New Roman"/>
        <family val="1"/>
      </rPr>
      <t xml:space="preserve"> = 20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= 40
N</t>
    </r>
    <r>
      <rPr>
        <sz val="10"/>
        <rFont val="Times New Roman"/>
        <family val="1"/>
      </rPr>
      <t xml:space="preserve">3 </t>
    </r>
    <r>
      <rPr>
        <sz val="12"/>
        <rFont val="Times New Roman"/>
        <family val="1"/>
      </rPr>
      <t>= 20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= 20
</t>
    </r>
  </si>
  <si>
    <t>Оценка исполнения судебных актов</t>
  </si>
  <si>
    <t>показатель характеризует исполнение бюджетных ассигнований без учёта субвенций, субсидий и иных межбюджетных трансфертов из бюджета автономного округа на конец отчётного периода</t>
  </si>
  <si>
    <t>показатель характеризует качество планирования, и исполнение доходов администрируемых ГАБС</t>
  </si>
  <si>
    <t xml:space="preserve">показатель характеризует наличие/отсутствие значительного объёма дебиторской задолженности по доходам
</t>
  </si>
  <si>
    <t>Соблюдение сроков формирования и представления в департамент финансов отчётности об исполнении бюджета</t>
  </si>
  <si>
    <t>Несоблюдение сроков формирования и представления в департамент финансов отчётности об исполнении бюджета</t>
  </si>
  <si>
    <t>показатель характеризует своевременность формирования и представления в департамент финансов отчётности об исполнении бюджета</t>
  </si>
  <si>
    <t>4.</t>
  </si>
  <si>
    <t>показатель характеризует наличие/отсутствие значительного объёма дебиторской задолженности по расходам</t>
  </si>
  <si>
    <t>1.</t>
  </si>
  <si>
    <t>5.</t>
  </si>
  <si>
    <t>Проверка контрольно-ревизионным управлением не проводилась</t>
  </si>
  <si>
    <t xml:space="preserve">показатель характеризует наличие/отсутствие нарушений выявленных контрольно-ревизионным управлением в ходе проверок </t>
  </si>
  <si>
    <t>6.</t>
  </si>
  <si>
    <t>показатель не оценивается</t>
  </si>
  <si>
    <t>отсутствие в фрагменте реестра расходных обязательств нормативных документов утративших силу</t>
  </si>
  <si>
    <t>наличие в фрагменте реестра расходных обязательств нормативных документов утративших силу</t>
  </si>
  <si>
    <t>1.9.</t>
  </si>
  <si>
    <t>1.12.</t>
  </si>
  <si>
    <t>1.13.</t>
  </si>
  <si>
    <t>1.10.</t>
  </si>
  <si>
    <t>1.11.</t>
  </si>
  <si>
    <t>Оценка показателя
в баллах</t>
  </si>
  <si>
    <t>2.1.</t>
  </si>
  <si>
    <t>2.2.</t>
  </si>
  <si>
    <t>2.3.</t>
  </si>
  <si>
    <t>2.4.</t>
  </si>
  <si>
    <t>2.5.</t>
  </si>
  <si>
    <t>2.6.</t>
  </si>
  <si>
    <t>2.8.</t>
  </si>
  <si>
    <t>2.9.</t>
  </si>
  <si>
    <t>в соответствии с рассчитанным значением</t>
  </si>
  <si>
    <t>Комментарий</t>
  </si>
  <si>
    <t>1.3.</t>
  </si>
  <si>
    <t>1.4.</t>
  </si>
  <si>
    <t>1.5.</t>
  </si>
  <si>
    <t>1.6.</t>
  </si>
  <si>
    <t>1.7.</t>
  </si>
  <si>
    <t>Равномерность расходов</t>
  </si>
  <si>
    <t>1.8.</t>
  </si>
  <si>
    <t>3.</t>
  </si>
  <si>
    <t>3.1.</t>
  </si>
  <si>
    <t>4.1.</t>
  </si>
  <si>
    <t>4.2.</t>
  </si>
  <si>
    <t>4.3.</t>
  </si>
  <si>
    <t>4.4.</t>
  </si>
  <si>
    <t>5.1.</t>
  </si>
  <si>
    <t>5.2.</t>
  </si>
  <si>
    <t>6.1.</t>
  </si>
  <si>
    <t>Доля проектов долгосрочных и ведомственных целевых программ, получивших в департаменте по экономической политике положительное заключение при первичной экспертизе от общего количества проектов долгосрочных и ведомственных целевых программ</t>
  </si>
  <si>
    <r>
      <t>Р</t>
    </r>
    <r>
      <rPr>
        <sz val="9"/>
        <rFont val="Times New Roman"/>
        <family val="1"/>
      </rPr>
      <t>10</t>
    </r>
  </si>
  <si>
    <t>показатель характеризует качество подготовки ГАБС проектов долгосрочных и ведомственных целевых программ</t>
  </si>
  <si>
    <t>Обходные листы с отражением сроков представления и принятия отчётности ГАБС</t>
  </si>
  <si>
    <t>Доля исполненных бюджетных ассигнований без учёта субвенций, субсидий и иных межбюджетных трансфертов из бюджета автономного округа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</si>
  <si>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</si>
  <si>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ГАБС не формирует долгосрочные и ведомственные целевые программы</t>
  </si>
  <si>
    <r>
      <t>Р</t>
    </r>
    <r>
      <rPr>
        <sz val="9"/>
        <rFont val="Times New Roman"/>
        <family val="1"/>
      </rPr>
      <t>13</t>
    </r>
  </si>
  <si>
    <r>
      <t>Р</t>
    </r>
    <r>
      <rPr>
        <sz val="9"/>
        <rFont val="Times New Roman"/>
        <family val="1"/>
      </rPr>
      <t>14</t>
    </r>
  </si>
  <si>
    <r>
      <t>Р</t>
    </r>
    <r>
      <rPr>
        <sz val="9"/>
        <rFont val="Times New Roman"/>
        <family val="1"/>
      </rPr>
      <t>17</t>
    </r>
  </si>
  <si>
    <r>
      <t>Р</t>
    </r>
    <r>
      <rPr>
        <sz val="9"/>
        <rFont val="Times New Roman"/>
        <family val="1"/>
      </rPr>
      <t>22</t>
    </r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</si>
  <si>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</si>
  <si>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r>
      <t>Р</t>
    </r>
    <r>
      <rPr>
        <sz val="9"/>
        <rFont val="Times New Roman"/>
        <family val="1"/>
      </rPr>
      <t>30</t>
    </r>
  </si>
  <si>
    <r>
      <t>Р</t>
    </r>
    <r>
      <rPr>
        <sz val="9"/>
        <rFont val="Times New Roman"/>
        <family val="1"/>
      </rPr>
      <t>33</t>
    </r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</si>
  <si>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</si>
  <si>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 xml:space="preserve">показатель характеризует полноту отражения всех применяемых кодов  расходов бюджетной классификации по расходным обязательствам в фрагменте реестра расходных обязательств ГАБС (в отчетном, текущем, очередном, плановом финансовых годах) 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</si>
  <si>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</si>
  <si>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Наличие/отсутствие в фрагментах реестра расходных обязательств нормативных документов утративших силу, представленных ГАБС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</si>
  <si>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Доля дебиторской задолженности по расходам в общем объёме расходов</t>
  </si>
  <si>
    <t>Оценка организации контроля</t>
  </si>
  <si>
    <t>Оценка кадрового потенциала экономических и бухгалтерских служб</t>
  </si>
  <si>
    <r>
      <t>Р</t>
    </r>
    <r>
      <rPr>
        <sz val="9"/>
        <rFont val="Times New Roman"/>
        <family val="1"/>
      </rPr>
      <t>12</t>
    </r>
  </si>
  <si>
    <t xml:space="preserve">Качество планирования расходов </t>
  </si>
  <si>
    <t>показатель характеризует качество планирования расходов. Целевым ориентиром для ГАБС является минимальный объём вносимых изменений в сводную бюджетную роспись и бюджетную роспись ГАБС</t>
  </si>
  <si>
    <t>Отсутствуют исполнительные документы, подлежащие исполнению</t>
  </si>
  <si>
    <t>2.10.</t>
  </si>
  <si>
    <t>2.11.</t>
  </si>
  <si>
    <t>2.12.</t>
  </si>
  <si>
    <r>
      <t>(1 - ( (95 - 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) / 95) * 100</t>
    </r>
  </si>
  <si>
    <t>ГАБС не исполняет функции куратора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</si>
  <si>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течение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</si>
  <si>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Наличие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</si>
  <si>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</si>
  <si>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сответсвие действующему законодательству реквизитов нормативных правовых актов, отраженных в  фрагментах реестров расходных обязательств ГАБС</t>
  </si>
  <si>
    <r>
      <t>Р</t>
    </r>
    <r>
      <rPr>
        <sz val="9"/>
        <rFont val="Times New Roman"/>
        <family val="1"/>
      </rPr>
      <t>8-1</t>
    </r>
  </si>
  <si>
    <r>
      <t>Р</t>
    </r>
    <r>
      <rPr>
        <sz val="9"/>
        <rFont val="Times New Roman"/>
        <family val="1"/>
      </rPr>
      <t>8-2</t>
    </r>
  </si>
  <si>
    <r>
      <t>P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 = 100 * (К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в департамент финансов ОБАС в срок, установленный  письмами  департамента финансов о доведении и уточнении предельных объемов бюджетных ассигнований;
К - количество писем о доведении и уточнении предельных объемов бюджетных ассигнований, направленных ГАБС департаментом финансов</t>
    </r>
  </si>
  <si>
    <r>
      <t>P</t>
    </r>
    <r>
      <rPr>
        <sz val="9"/>
        <rFont val="Times New Roman"/>
        <family val="1"/>
      </rPr>
      <t>4</t>
    </r>
    <r>
      <rPr>
        <sz val="12"/>
        <rFont val="Times New Roman"/>
        <family val="1"/>
      </rPr>
      <t xml:space="preserve"> = 100 * ( 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документов, входящих в  состав ОБАС предварительных и уточненных предельных объемов бюджетных ассигнований, представленных ГАБС в соответствии с утверждёнными формами;
К - количество документов, входящих в  состав ОБАС предварительных и уточненных предельных объемов бюджетных ассигнований, которые должны быть представлены ГАБС в соответствии с утверждённой Методикой планирования бюджетных ассигнований.
</t>
    </r>
  </si>
  <si>
    <t>Соблюдение сроков представления обоснований бюджетных ассигнований на очередной финансовый год и плановый период (далее - ОБАС) в комитет по финансам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</si>
  <si>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комитет по  финансам</t>
  </si>
  <si>
    <t>Соблюдение сроков представления ГАБС фрагмента реестра расходных обязательств в комитет по финансам в целях подготовки реестра расходных обязательств муниципального образования Кондинский район
и направления его в Департамент финансов ХМАО-Югры</t>
  </si>
  <si>
    <t>P6 =100* К1 / К, где:
К1 - количество своевременно представленных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ХМАО-Югры;
К - количество писем о представлении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</si>
  <si>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показатель характеризует своевременность представления фрагмента реестра расходных обязательств в комитет по финансам</t>
  </si>
  <si>
    <t>Постановление Главы Кондинского района "О порядке ведения реестра расходных обязательств муниципального образования Кондинский район";
Письмо комитета по финансам "О представлении фрагмента реестра расходных обязательств";
Письмо ГАБС "О представлении фрагмента реестра расходных обязательств"</t>
  </si>
  <si>
    <t xml:space="preserve">Решение Думы Кондинского района "О бюджете муниципального образования Кондинский район на очередной финансовый год и плановый период";
</t>
  </si>
  <si>
    <t>Соблюдение сроков представления утверждённой бюджетной росписи в комитет по финансам</t>
  </si>
  <si>
    <r>
      <t>P</t>
    </r>
    <r>
      <rPr>
        <sz val="9"/>
        <rFont val="Times New Roman"/>
        <family val="1"/>
      </rPr>
      <t>15</t>
    </r>
    <r>
      <rPr>
        <sz val="12"/>
        <rFont val="Times New Roman"/>
        <family val="1"/>
      </rPr>
      <t xml:space="preserve">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бюджетных росписей, представленных ГАБС в комитет по финансам с соблюдением сроков в отчётном периоде;
Р - количество бюджетных росписей, представленных ГАБС в комитет по финансам в отчётном периоде</t>
    </r>
  </si>
  <si>
    <t>показатель характеризует своевременность представления утвержденной бюджетной росписи в комитет по финансам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</si>
  <si>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комитет финансов 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</si>
  <si>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комитет финансов. Целевым ориентиром для ГАБС является минимальное количество обращений.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</si>
  <si>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Контрольно-счетной палатой района;
V - общий объём направленных предписаний для принятия мер по устранению выявленных нарушений  Контрольно-счетной палатой района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</si>
  <si>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Контрольно-счетной палатой района по результатам ревизий (проверок)</t>
  </si>
  <si>
    <t>Программный продукт АС "Бюджет"</t>
  </si>
  <si>
    <t>Оценка управления активами</t>
  </si>
  <si>
    <t>7.</t>
  </si>
  <si>
    <t>7.1.</t>
  </si>
  <si>
    <t>7.2.</t>
  </si>
  <si>
    <t>Динамика объема материальных запасов</t>
  </si>
  <si>
    <t>Форма по ОКУД 0503130 "Баланс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</t>
  </si>
  <si>
    <r>
      <t>Р</t>
    </r>
    <r>
      <rPr>
        <sz val="9"/>
        <rFont val="Times New Roman"/>
        <family val="1"/>
      </rPr>
      <t>38</t>
    </r>
    <r>
      <rPr>
        <sz val="12"/>
        <rFont val="Times New Roman"/>
        <family val="1"/>
      </rPr>
      <t xml:space="preserve">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  </r>
  </si>
  <si>
    <r>
      <t>Р</t>
    </r>
    <r>
      <rPr>
        <sz val="9"/>
        <rFont val="Times New Roman"/>
        <family val="1"/>
      </rPr>
      <t>39</t>
    </r>
    <r>
      <rPr>
        <sz val="12"/>
        <rFont val="Times New Roman"/>
        <family val="1"/>
      </rPr>
      <t xml:space="preserve">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  </r>
  </si>
  <si>
    <r>
      <t>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>&lt; 5 %</t>
    </r>
    <r>
      <rPr>
        <sz val="8"/>
        <rFont val="Times New Roman"/>
        <family val="1"/>
      </rPr>
      <t xml:space="preserve"> </t>
    </r>
  </si>
  <si>
    <r>
      <t>5 % &lt;=Р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 xml:space="preserve">&lt;= 10 % </t>
    </r>
  </si>
  <si>
    <r>
      <t>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 xml:space="preserve">&gt;10 % </t>
    </r>
  </si>
  <si>
    <t>показатель характеризует уровень управления активами</t>
  </si>
  <si>
    <t>Проверка Контрольно-счетной палатой района, ГАБС не проводилась</t>
  </si>
  <si>
    <t>Программный продукт АС "Бюджет";
Приказ комитета по финансам и налоговой политике администрации Кондинского района "О порядке учета бюджетных обязательств получателей средств бюджета муниципального образования Кондинский район комитетом по финансам"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</si>
  <si>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
комитетом по финансам и налоговой политике администрации Кондинского района исполнительных документов, 
предусматривающих обращение взыскания 
на средства бюджетных учреждений, 
и документов, связанных с их исполнением"
</t>
  </si>
  <si>
    <t xml:space="preserve">Программный продукт АС "Бюджет"
</t>
  </si>
  <si>
    <t xml:space="preserve">
Программный продукт АС "Бюджет"</t>
  </si>
  <si>
    <t>показатель характеризует своевременность представления ОБАС  в комитет по  финансам</t>
  </si>
  <si>
    <t>Приказ комитета по финансам  "Об утверждении  Методических рекомендаций  планирования бюджетных ассигнований бюджета муниципального образования Кондинский район на очередной год и на плановый период" 
Письма ГАБС "О представлении обоснований бюджетных ассигнований на очередной финансовый год и плановый период"</t>
  </si>
  <si>
    <t>Р5</t>
  </si>
  <si>
    <t>Р6</t>
  </si>
  <si>
    <r>
      <t>Р7</t>
    </r>
    <r>
      <rPr>
        <sz val="9"/>
        <rFont val="Times New Roman"/>
        <family val="1"/>
      </rPr>
      <t>-2</t>
    </r>
  </si>
  <si>
    <t>Р8</t>
  </si>
  <si>
    <t>Р9</t>
  </si>
  <si>
    <t>2.7.</t>
  </si>
  <si>
    <r>
      <t>Р</t>
    </r>
    <r>
      <rPr>
        <sz val="9"/>
        <rFont val="Times New Roman"/>
        <family val="1"/>
      </rPr>
      <t>24</t>
    </r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</si>
  <si>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комитет по финансам </t>
  </si>
  <si>
    <r>
      <t>P</t>
    </r>
    <r>
      <rPr>
        <sz val="9"/>
        <rFont val="Times New Roman"/>
        <family val="1"/>
      </rPr>
      <t>22</t>
    </r>
    <r>
      <rPr>
        <sz val="12"/>
        <rFont val="Times New Roman"/>
        <family val="1"/>
      </rPr>
      <t xml:space="preserve">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комитет по финансам </t>
    </r>
  </si>
  <si>
    <t>Соблюдение сроков формирования и представления в комитет по  финансам отчётности об исполнении бюджета</t>
  </si>
  <si>
    <t>Соблюдение сроков формирования и представления в комитета по финансам отчётности об исполнении бюджета</t>
  </si>
  <si>
    <t>Несоблюдение сроков формирования и представления в комитет по финансам отчётности об исполнении бюджета</t>
  </si>
  <si>
    <t>показатель характеризует своевременность формирования и представления в комитет по финансам отчётности об исполнении бюджета</t>
  </si>
  <si>
    <t>Р21</t>
  </si>
  <si>
    <t>Р25</t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</si>
  <si>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дней отклонения даты представления ГАБС информации, необходимой для разработки прогноза социально-экономического развития района, от установленной даты представления информации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</si>
  <si>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=100*(Е – Еср) / Еср, где:
Е – объём кассовых расходов в IV квартале отчётного периода без учёта  межбюджетных трансфертов из бюджета автономного округа, резервного фонда администрации муниципального образования Кондинский район, иным образом зарезервированных средств в соответствии с решением Думы района о бюджете;
Еср – средний объём кассовых расходов за I-III квартал отчётного периода без учёта межбюджетных трансфертов из бюджета автономного округа, резервного фонда администрации района, иным образом зарезервированных средств в соответствии с решением Думы района о бюджете.
Еср = (R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>+ R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 xml:space="preserve"> + R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>) / 3, где:
R1, R2, R3 - объём кассовых расходов за I, II, III квартал соответственно</t>
    </r>
  </si>
  <si>
    <r>
      <t>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= 100 * (E  / (b - s)), где:
b – объём бюджетных ассигнований ГАБС на конец отчётного периода согласно сводной бюджетной росписи бюджета района;
s - объём бюджетных ассигнований ГАБС за счёт  межбюджетных трансфертов из бюджета автономного округа, резервного фонда муниципального образования Кондинский район, иным образом зарезервированных средств в соответствии с решением Думы района о бюджете;
Е - кассовое исполнение расходов ГАБС без учёта  межбюджетных трансфертов из бюджета автономного округа на конец отчётного периода</t>
    </r>
  </si>
  <si>
    <t xml:space="preserve">Постановление администрации Кондинского района "Об утверждении реестра муниципальных услуг";
</t>
  </si>
  <si>
    <t>Постановление администрации Кондинского района "Об утверждении реестра муниципальных услуг";
Постановление администрации Кондинского района "Об утверждении порядка проведения оценки потребности в оказании муниципальных услуг (выполнении работ)";
Сводная информация комитета по экономической политики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</si>
  <si>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r>
      <t>P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 = 100 * (К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в комитет по финансам ОБАС в срок, установленный  письмами  комитета по финансам о доведении и уточнении  бюджетных ассигнований на очередной финансовый год и плановый период;
К - количество писем о доведении и уточнении предельных объемов бюджетных ассигнований, направленных ГАБС комитетом по финансам</t>
    </r>
  </si>
  <si>
    <t>1.14.</t>
  </si>
  <si>
    <t>Р7-1</t>
  </si>
  <si>
    <r>
      <t>Р</t>
    </r>
    <r>
      <rPr>
        <sz val="9"/>
        <rFont val="Times New Roman"/>
        <family val="1"/>
      </rPr>
      <t>19</t>
    </r>
  </si>
  <si>
    <t>Р20</t>
  </si>
  <si>
    <t>Р22</t>
  </si>
  <si>
    <t>Р23</t>
  </si>
  <si>
    <r>
      <t>Р</t>
    </r>
    <r>
      <rPr>
        <sz val="9"/>
        <rFont val="Times New Roman"/>
        <family val="1"/>
      </rPr>
      <t>28</t>
    </r>
  </si>
  <si>
    <t>Р30</t>
  </si>
  <si>
    <t>Р31</t>
  </si>
  <si>
    <t>Р33</t>
  </si>
  <si>
    <r>
      <t>Р</t>
    </r>
    <r>
      <rPr>
        <sz val="10"/>
        <rFont val="Times New Roman"/>
        <family val="1"/>
      </rPr>
      <t>38</t>
    </r>
  </si>
  <si>
    <r>
      <t>Р</t>
    </r>
    <r>
      <rPr>
        <sz val="9"/>
        <rFont val="Times New Roman"/>
        <family val="1"/>
      </rPr>
      <t>39</t>
    </r>
  </si>
  <si>
    <t>Р40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</si>
  <si>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</si>
  <si>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Главы Кондинского района "О порядке ведения реестра расходных обязательств муниципального образования Кондинский район";
Письмо Департамента финансов ХМАО-Югры "О представлении фрагмента реестра расходных обязательств";
Письмо ГАБС "О представлении фрагмента реестра расходных обязательств"</t>
  </si>
  <si>
    <t>P7 = ∑ Pi /K, где:
Pi = 100 * (Ri / Di), где:
i - фрагмент реестра расходных обязательств, представленный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
K- количество  фрагментов реестра расходных обязательств,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 
Pi - коэффициент соответствия отражения применяемых кодов расходов бюджетной классификации по расходным обязательствам в i-м  фрагменте реестра расходных обязательств ГАБС;
Ri - количество расходных обязательств  c полным отражением всех применяемых кодов раздела и подраздела функциональной структуры классификации расходов бюджета по расходным обязательствам в  i-м фрагменте реестра расходных обязательств ГАБС;
Di - количество расходных обязательств, которые представлены ГАБС в составе   i-го фрагмента реестра расходных обязательств.</t>
  </si>
  <si>
    <t>Наличие/отсутствие в фрагментах реестра расходных обязательств нормативных документов утративших силу,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ХМАО-Югры</t>
  </si>
  <si>
    <t>Отсутствие в фрагменте реестра расходных обязательств нормативных документов, утративших силу</t>
  </si>
  <si>
    <t>Наличие в фрагменте реестра расходных обязательств нормативных документов, утративших силу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</si>
  <si>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</si>
  <si>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 xml:space="preserve">P8-2 = ∑ Pi /Р где:
Pi = 100 *  (Di / Ni), где:
i - расходное обязательство;
Pi - коэффициент соответствия действующему законодательству реквизитов нормативных правовых актов в i-м расходном обязательстве,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 ХМАО-Югры;
Di - количество нормативных правовых актов, соответствующих действующему законодательству в i-м расходном обязательстве в фрагментах реестров расходных обязательств, представленных ГРБС в отчетном периоде; 
Ni - общее количество нормативных правовых актов  в i-м расходном обязательстве  в фрагментах реестров расходных обязательств, представленных ГРБС в отчетном периоде; 
Р - количество расходных обязательств, которые представлены ГАБС в составе фрагментов реестра расходных обязательств в целях подготовки реестра расходных обязательств муниципального образования Кондинский район и направления его в Департамент финансов ХМАО-Югры.
</t>
  </si>
  <si>
    <t>Муниципальные услуги (работы), включённые в установленном порядке в реестр муниципальных услуг (работ), отсутствуют</t>
  </si>
  <si>
    <t>Доля утвержденных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</t>
  </si>
  <si>
    <r>
      <t>P</t>
    </r>
    <r>
      <rPr>
        <sz val="9"/>
        <rFont val="Times New Roman"/>
        <family val="1"/>
      </rPr>
      <t xml:space="preserve">11 </t>
    </r>
    <r>
      <rPr>
        <sz val="12"/>
        <rFont val="Times New Roman"/>
        <family val="1"/>
      </rPr>
      <t>=  100 * (Sk / Y), где:
Sk - количество утверждённых административных регламентов муниципальных услуг (работ);
Y - количество муниципальных услуг (работ), включённых в установленном порядке в реестр муниципальных услуг</t>
    </r>
  </si>
  <si>
    <t xml:space="preserve">показатель характеризует долю утверждённых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
</t>
  </si>
  <si>
    <t>2.</t>
  </si>
  <si>
    <r>
      <t>P28= 100-(100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обращений, направленных соответствующим ГАБС в комитет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о бюджете;
Р - общее количество обращений, направленных всеми ГАБС в комитет финансов,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 о бюджете.</t>
    </r>
  </si>
  <si>
    <t>Процент  исполнения остатков межбюджетных трансфертов, сложившихся на начало финансового года, и имеющих целевое назначение.</t>
  </si>
  <si>
    <t>Приложение №2 "Основные виды нарушений по структурным подразделениям администрации Кондинского района и их подведомственных учреждений за соответствующий год" к Отчёту о работе Контрольно-счетной палаты  Кондинского района за отчётный период;
Сводная информация Контрольно-счетной палаты,  главных администраторов бюджетных средств по форме согласно приложению 5 к порядку проведения мониторинга качества финансового менеджмента, осуществляемого ГАБС</t>
  </si>
  <si>
    <t>Доля устранённых нарушений в общем объёме направленных предписаний для принятия мер по устранению выявленных нарушений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 по результатам ревизий (проверок)</t>
  </si>
  <si>
    <t>Приложение №3 "Сведения о принятых мерах по результатам ревизий (проверок) по структурным подразделениям администрации Кондинского района за отчётные период" к Отчёту о работе контрольно-счетной палаты  Кондинского района за отчётный период;
Сводная информация Контрольно-счетной палаты Кондинского района, главных администраторов бюджетных средств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</si>
  <si>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Контрольно-счетной палатой Кондинского района по форме согласно приложению 5 к порядку проведения мониторинга качества финансового менеджмента, осуществляемого ГАБС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</si>
  <si>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</si>
  <si>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Отсутствие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</si>
  <si>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</si>
  <si>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бюджета, о возмещении ущерба в результате незаконных действий или бездействий ГАБС и (или) его должностных лиц</t>
  </si>
  <si>
    <t>Сводная информация ГАБС по форме согласно приложению 3 к порядку проведения мониторинга качества финансового менеджмента,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</si>
  <si>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менеджмента, осуществляемого ГАБС </t>
  </si>
  <si>
    <t xml:space="preserve">показатель характеризует полноту (наличие/отсутствие), соответствие/несоответствие утвержденным формам обоснований бюджетных ассигнований на очередной финансовый год и плановый период, представленных в комитет по  финансам документов, входящих в состав ОБАС </t>
  </si>
  <si>
    <t xml:space="preserve">показатель характеризует полноту отражения всех применяемых кодов  раздела и подраздела функциональной структуры классификации расходов бюджета по расходным обязательствам в фрагменте реестра расходных обязательств ГАБС (в отчетном, текущем, очередном, плановом финансовых годах) </t>
  </si>
  <si>
    <t>показатель характеризует соответствие  действующему законодательству реквизитов нормативных правовых актов, отраженных в  фрагментах реестров расходных обязательств ГАБС</t>
  </si>
  <si>
    <t>Постановление администрации Кондинского района "Об утверждении 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(выполнении работ) и нормативных затрат на содержание имущества муниципальных учреждений";
Сводная информация комитета по экономической политики муниципального образования Кондинский район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</si>
  <si>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наличие/отсутствие результатов оценки потребности в оказании муниципальных услугах (выполнении работ), оказываемых юридическим и физическим лицам в соответствии с муниципальным правовым актом</t>
  </si>
  <si>
    <t>Приказ комитета по финансам и налоговой политике администрации Кондинского района "Об утверждении Порядка составления и ведения сводной бюджетной росписи бюджета района и бюджетных росписей главных распорядителей средств бюджета района (главных администраторов источников финансирования дефицита бюджета района)";
Письма ГАБС "О представлении бюджетной росписи на очередной, текущий финансовый год, плановый период"</t>
  </si>
  <si>
    <t>P24 = 100 * (1-N /n), где
N - количество муниципальных заданий учреждений, в отношении которых ГАБС исполняет функции куратора,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</si>
  <si>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r>
      <t>P</t>
    </r>
    <r>
      <rPr>
        <sz val="9"/>
        <rFont val="Times New Roman"/>
        <family val="1"/>
      </rPr>
      <t>31</t>
    </r>
    <r>
      <rPr>
        <sz val="12"/>
        <rFont val="Times New Roman"/>
        <family val="1"/>
      </rPr>
      <t xml:space="preserve"> = 100 - N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3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4</t>
    </r>
    <r>
      <rPr>
        <sz val="12"/>
        <rFont val="Times New Roman"/>
        <family val="1"/>
      </rPr>
      <t>, где:
N</t>
    </r>
    <r>
      <rPr>
        <sz val="10"/>
        <rFont val="Times New Roman"/>
        <family val="1"/>
      </rPr>
      <t xml:space="preserve">1 </t>
    </r>
    <r>
      <rPr>
        <sz val="12"/>
        <rFont val="Times New Roman"/>
        <family val="1"/>
      </rPr>
      <t>- наличие нарушений, в части несоблюдения нормативных, правовых и законодательных актов;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- наличие нарушений, в части нецелевого использования бюджетных средств;
N</t>
    </r>
    <r>
      <rPr>
        <sz val="10"/>
        <rFont val="Times New Roman"/>
        <family val="1"/>
      </rPr>
      <t>3</t>
    </r>
    <r>
      <rPr>
        <sz val="12"/>
        <rFont val="Times New Roman"/>
        <family val="1"/>
      </rPr>
      <t xml:space="preserve"> - наличие нарушений, в части необоснованного использования денежных средств;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- наличие нарушений, в части неэффективного использования бюджетных средств</t>
    </r>
  </si>
  <si>
    <t>Проверка Контрольно-счетной палатой Кондинского района, ГАБС не проводилась</t>
  </si>
  <si>
    <r>
      <t>Р</t>
    </r>
    <r>
      <rPr>
        <sz val="9"/>
        <rFont val="Times New Roman"/>
        <family val="1"/>
      </rPr>
      <t>36</t>
    </r>
    <r>
      <rPr>
        <sz val="12"/>
        <rFont val="Times New Roman"/>
        <family val="1"/>
      </rPr>
      <t xml:space="preserve"> = 100 * (n / N), где: 
n -  объём исполненных ГАБС исполнительных документов;
N - общий объём предъявленных ко взысканию исполнительных документов</t>
    </r>
  </si>
  <si>
    <t>Наличие нарушений, выявленных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района в ходе проверок</t>
  </si>
  <si>
    <t xml:space="preserve">показатель характеризует наличие/отсутствие нарушений, выявленных Контрольно-счетной палатой Кондинского района, в ходе проверок </t>
  </si>
  <si>
    <t xml:space="preserve">Рейтинг ГАБС, не имеющих подведомственную сеть учреждений, либо имеющих подведомственную сеть в количестве 3 или менее муниципальных учреждений </t>
  </si>
  <si>
    <t xml:space="preserve">Рейтинг ГАБС, имеющих подведомственную сеть учреждений, либо имеющих подведомственную сеть в количестве 4 или более муниципальных учреждений </t>
  </si>
  <si>
    <t>Дума Кондинского района</t>
  </si>
  <si>
    <t>Отдел по опеке и попечительству администрации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</si>
  <si>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</si>
  <si>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</si>
  <si>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Управление образования администрации Кондинского района</t>
  </si>
  <si>
    <t>Отдел по здравоохранению администрации Кондинского района</t>
  </si>
  <si>
    <t>Муниципальное учреждение Управление капитального строительства Кондинского района</t>
  </si>
  <si>
    <t>Администрация Кондинского района</t>
  </si>
  <si>
    <t>Управление жилищно-коммунального хозяйства администрации Кондинского района</t>
  </si>
  <si>
    <t xml:space="preserve"> -</t>
  </si>
  <si>
    <t xml:space="preserve">      Оценка состояния учета и отчетности</t>
  </si>
  <si>
    <t xml:space="preserve">          Максимальная суммарная оценка качества финансового менеджмента</t>
  </si>
  <si>
    <t>Соблюдение сроков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</si>
  <si>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Постановление администрации Кондинского района "О порядке разработки прогноза социально-экономического развития";
Письма ГАБС "О представлении информации, необходимой для разработки прогноза социально-экономического развития района";
Сводная информация 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</si>
  <si>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 </t>
  </si>
  <si>
    <t>Достоверность и полнота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</si>
  <si>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Письма ГАБС "О представлении информации, необходимой для разработки прогноза социально-экономического развития района";
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</si>
  <si>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достоверность и полноту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</si>
  <si>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Изменение доли бюджетных ассигнований на реализацию муниципальных и  ведомственных целевых программ в общем объёме бюджетных ассигнований</t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</si>
  <si>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доля бюджетных ассигнований на реализацию муниципальных и ведомственных целевых программ, в общем объёме бюджетных ассигнований в отчётном периоде; 
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-  доля бюджетных ассигнований на реализацию муниципальных и ведомственных целевых программ, в общем объёме бюджетных ассигнований в периоде предшествующем отчётному</t>
    </r>
  </si>
  <si>
    <t>показатель характеризует увеличение/уменьшение доли бюджетных ассигнований на реализацию муниципальных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</si>
  <si>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>Бюджетные ассигнования на реализацию муниципальных и ведомственных целевых программ в общем объёме расходов отсутствуют</t>
  </si>
  <si>
    <t>Доля проектов муниципальных и ведомственных целевых программ, получивших в комитете экономического развития и инвестиционной деятельности положительное заключение при первичной экспертизе от общего количества проектов муниципальных и ведомственных целевых программ</t>
  </si>
  <si>
    <t>Сводная информация  комитета экономического развития и инвестиционной деятельности  по форме согласно приложению 4 к порядку проведения мониторинга качества финансового менеджмента, осуществляемого ГАБС</t>
  </si>
  <si>
    <r>
      <t>P</t>
    </r>
    <r>
      <rPr>
        <sz val="9"/>
        <rFont val="Times New Roman"/>
        <family val="1"/>
      </rPr>
      <t>10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проектов муниципальных и ведомственных целевых программ, получивших в отчётном периоде в комитет экономического развития и инвестиционной деятельности положительное заключение при первичной экспертизе; 
N -   количество проектов муниципальных и ведомственных целевых программ, представленных на первичную экспертизу в отчётном периоде в комитет экономического развития и инвестиционной деятельности</t>
    </r>
  </si>
  <si>
    <t>показатель характеризует качество подготовки ГАБС проектов муниципальных и ведомственных целевых программ</t>
  </si>
  <si>
    <t>ГАБС не формирует муниципальные и  ведомственные целевые программы</t>
  </si>
  <si>
    <r>
      <t>Р</t>
    </r>
    <r>
      <rPr>
        <sz val="9"/>
        <rFont val="Times New Roman"/>
        <family val="1"/>
      </rPr>
      <t>13</t>
    </r>
    <r>
      <rPr>
        <sz val="12"/>
        <rFont val="Times New Roman"/>
        <family val="1"/>
      </rPr>
      <t xml:space="preserve"> = 100 - (100 * (S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S)), где:
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объём внесённых положительных изменений в сводную бюджетную роспись и бюджетную роспись ГАБС  за исключением изменений в части межбюджетных трансфертов, субвенций и субсидий из вышестоящих бюджетов, резервного фонда муниципального образования Кондинский район, иным образом зарезервированных средств в соответствии с решением Думы муниципального образования Кондинский район о бюджете, а также изменений, утверждённых решением Думы муниципального образования о бюджете;
S - объём бюджетных ассигнований по ГАБС с учётом изменений, утверждённых решением Думы муниципального образования Кондинский район о бюджете</t>
    </r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</si>
  <si>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</si>
  <si>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менеджмента, осуществляемого ГАБС</t>
  </si>
  <si>
    <r>
      <t>P</t>
    </r>
    <r>
      <rPr>
        <sz val="9"/>
        <rFont val="Times New Roman"/>
        <family val="1"/>
      </rPr>
      <t xml:space="preserve">23 </t>
    </r>
    <r>
      <rPr>
        <sz val="12"/>
        <rFont val="Times New Roman"/>
        <family val="1"/>
      </rPr>
      <t>= 100 * (N / n), где:
N - количество выполненных показателей результатов достижения цели/деятельности по оказанию муниципальных услуг (выполнению работ) муниципальных, ведомственных целевых программ;
n - общее количество утвержденных показателей муниципальных, ведомственных целевых программ</t>
    </r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</si>
  <si>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</si>
  <si>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ГАБС не формирует муниципальные и ведомственные целевые программы</t>
  </si>
  <si>
    <r>
      <t>Р</t>
    </r>
    <r>
      <rPr>
        <sz val="8"/>
        <rFont val="Times New Roman"/>
        <family val="1"/>
      </rPr>
      <t xml:space="preserve">37 </t>
    </r>
    <r>
      <rPr>
        <sz val="14"/>
        <rFont val="Times New Roman"/>
        <family val="1"/>
      </rPr>
      <t xml:space="preserve">= (J1-J0)/JO * 100,                                          </t>
    </r>
    <r>
      <rPr>
        <sz val="12"/>
        <rFont val="Times New Roman"/>
        <family val="1"/>
      </rPr>
      <t>где:                                                       J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стоимость материальных запасов на конец отчетного периода;                                                                                   J</t>
    </r>
    <r>
      <rPr>
        <sz val="9"/>
        <rFont val="Times New Roman"/>
        <family val="1"/>
      </rPr>
      <t xml:space="preserve">0 </t>
    </r>
    <r>
      <rPr>
        <sz val="12"/>
        <rFont val="Times New Roman"/>
        <family val="1"/>
      </rPr>
      <t xml:space="preserve">- стоимость материальных запасов на начало года                                                                                      </t>
    </r>
  </si>
  <si>
    <t>Сводный отчет об исполнении показателей, характеризующих качество финансового менеджмента главных администраторов бюджетных средств (оценка в баллах) за 2016 год</t>
  </si>
  <si>
    <t>Управление культуры администрации Кондинского района</t>
  </si>
  <si>
    <t>Комиет физической культуры и спорта администрации Кондинского района</t>
  </si>
  <si>
    <t>2016 к 2015</t>
  </si>
  <si>
    <t>нет оценки</t>
  </si>
  <si>
    <t>Рейтинг ГАБС, не имеющих подведомственной сети учреждений, либо имеющих подведомственную сеть в количестве 3-х или менее муниципальных учреждений за 2016 год</t>
  </si>
  <si>
    <t>Управление опеки и попечительства администрации Кондинского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</si>
</sst>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#,##0.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60">
    <font>
      <sz val="10"/>
      <name val="Arial Cyr"/>
      <family val="0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6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8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1" fontId="13" fillId="33" borderId="10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33" borderId="0" xfId="0" applyFont="1" applyFill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1" fontId="0" fillId="9" borderId="0" xfId="0" applyNumberFormat="1" applyFill="1" applyAlignment="1">
      <alignment/>
    </xf>
    <xf numFmtId="0" fontId="0" fillId="9" borderId="0" xfId="0" applyFill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1" fillId="33" borderId="10" xfId="0" applyNumberFormat="1" applyFont="1" applyFill="1" applyBorder="1" applyAlignment="1" applyProtection="1">
      <alignment horizontal="justify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justify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68" fontId="0" fillId="33" borderId="15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68" fontId="0" fillId="33" borderId="16" xfId="0" applyNumberFormat="1" applyFont="1" applyFill="1" applyBorder="1" applyAlignment="1">
      <alignment vertical="center"/>
    </xf>
    <xf numFmtId="168" fontId="0" fillId="33" borderId="13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justify" vertical="center" wrapText="1"/>
    </xf>
    <xf numFmtId="168" fontId="0" fillId="33" borderId="16" xfId="0" applyNumberFormat="1" applyFont="1" applyFill="1" applyBorder="1" applyAlignment="1">
      <alignment vertical="center"/>
    </xf>
    <xf numFmtId="1" fontId="0" fillId="33" borderId="15" xfId="0" applyNumberFormat="1" applyFont="1" applyFill="1" applyBorder="1" applyAlignment="1">
      <alignment vertical="center"/>
    </xf>
    <xf numFmtId="168" fontId="0" fillId="33" borderId="15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vertical="center"/>
    </xf>
    <xf numFmtId="168" fontId="0" fillId="33" borderId="13" xfId="0" applyNumberFormat="1" applyFon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vertical="center" wrapText="1"/>
    </xf>
    <xf numFmtId="1" fontId="0" fillId="33" borderId="13" xfId="0" applyNumberFormat="1" applyFont="1" applyFill="1" applyBorder="1" applyAlignment="1">
      <alignment vertical="center" wrapText="1"/>
    </xf>
    <xf numFmtId="16" fontId="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vertical="center"/>
    </xf>
    <xf numFmtId="168" fontId="0" fillId="33" borderId="10" xfId="0" applyNumberFormat="1" applyFill="1" applyBorder="1" applyAlignment="1">
      <alignment vertical="center" wrapText="1"/>
    </xf>
    <xf numFmtId="1" fontId="0" fillId="33" borderId="10" xfId="0" applyNumberFormat="1" applyFill="1" applyBorder="1" applyAlignment="1">
      <alignment vertical="center"/>
    </xf>
    <xf numFmtId="1" fontId="0" fillId="33" borderId="10" xfId="0" applyNumberFormat="1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6" xfId="0" applyNumberFormat="1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172" fontId="0" fillId="33" borderId="13" xfId="0" applyNumberFormat="1" applyFont="1" applyFill="1" applyBorder="1" applyAlignment="1">
      <alignment vertical="center"/>
    </xf>
    <xf numFmtId="172" fontId="0" fillId="33" borderId="13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vertical="center"/>
    </xf>
    <xf numFmtId="1" fontId="0" fillId="33" borderId="16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68" fontId="16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0155"/>
          <c:w val="0.959"/>
          <c:h val="0.9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430EA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Лист1!$A$9:$F$9</c:f>
              <c:strCache/>
            </c:strRef>
          </c:cat>
          <c:val>
            <c:numRef>
              <c:f>Лист1!$A$10:$F$10</c:f>
              <c:numCache/>
            </c:numRef>
          </c:val>
          <c:shape val="cylinder"/>
        </c:ser>
        <c:shape val="cylinder"/>
        <c:axId val="46000205"/>
        <c:axId val="11348662"/>
      </c:bar3D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002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235"/>
          <c:w val="0.97125"/>
          <c:h val="0.95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430E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Лист1!$A$18:$D$18</c:f>
              <c:strCache/>
            </c:strRef>
          </c:cat>
          <c:val>
            <c:numRef>
              <c:f>Лист1!$A$19:$D$19</c:f>
              <c:numCache/>
            </c:numRef>
          </c:val>
          <c:shape val="cylinder"/>
        </c:ser>
        <c:shape val="cylinder"/>
        <c:axId val="35029095"/>
        <c:axId val="46826400"/>
      </c:bar3D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9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8</xdr:row>
      <xdr:rowOff>714375</xdr:rowOff>
    </xdr:from>
    <xdr:to>
      <xdr:col>17</xdr:col>
      <xdr:colOff>247650</xdr:colOff>
      <xdr:row>34</xdr:row>
      <xdr:rowOff>76200</xdr:rowOff>
    </xdr:to>
    <xdr:graphicFrame>
      <xdr:nvGraphicFramePr>
        <xdr:cNvPr id="1" name="Диаграмма 6"/>
        <xdr:cNvGraphicFramePr/>
      </xdr:nvGraphicFramePr>
      <xdr:xfrm>
        <a:off x="5476875" y="207645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866775</xdr:colOff>
      <xdr:row>37</xdr:row>
      <xdr:rowOff>123825</xdr:rowOff>
    </xdr:from>
    <xdr:to>
      <xdr:col>7</xdr:col>
      <xdr:colOff>619125</xdr:colOff>
      <xdr:row>60</xdr:row>
      <xdr:rowOff>114300</xdr:rowOff>
    </xdr:to>
    <xdr:graphicFrame>
      <xdr:nvGraphicFramePr>
        <xdr:cNvPr id="2" name="Диаграмма 7"/>
        <xdr:cNvGraphicFramePr/>
      </xdr:nvGraphicFramePr>
      <xdr:xfrm>
        <a:off x="866775" y="8362950"/>
        <a:ext cx="70770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14"/>
  <sheetViews>
    <sheetView tabSelected="1" view="pageBreakPreview" zoomScale="60" zoomScaleNormal="87" zoomScalePageLayoutView="40" workbookViewId="0" topLeftCell="A11">
      <pane ySplit="3360" topLeftCell="A106" activePane="bottomLeft" state="split"/>
      <selection pane="topLeft" activeCell="Q12" sqref="Q12"/>
      <selection pane="bottomLeft" activeCell="K110" sqref="K110:K111"/>
    </sheetView>
  </sheetViews>
  <sheetFormatPr defaultColWidth="9.125" defaultRowHeight="12.75"/>
  <cols>
    <col min="1" max="1" width="7.50390625" style="14" customWidth="1"/>
    <col min="2" max="2" width="28.375" style="15" hidden="1" customWidth="1"/>
    <col min="3" max="3" width="8.875" style="2" hidden="1" customWidth="1"/>
    <col min="4" max="4" width="39.50390625" style="2" hidden="1" customWidth="1"/>
    <col min="5" max="5" width="52.375" style="2" hidden="1" customWidth="1"/>
    <col min="6" max="6" width="17.875" style="2" hidden="1" customWidth="1"/>
    <col min="7" max="7" width="9.125" style="2" hidden="1" customWidth="1"/>
    <col min="8" max="8" width="23.50390625" style="2" hidden="1" customWidth="1"/>
    <col min="9" max="9" width="28.375" style="15" customWidth="1"/>
    <col min="10" max="10" width="8.875" style="2" customWidth="1"/>
    <col min="11" max="11" width="91.625" style="2" customWidth="1"/>
    <col min="12" max="12" width="57.50390625" style="2" customWidth="1"/>
    <col min="13" max="13" width="19.50390625" style="2" customWidth="1"/>
    <col min="14" max="14" width="13.875" style="2" customWidth="1"/>
    <col min="15" max="15" width="24.50390625" style="2" customWidth="1"/>
    <col min="16" max="16" width="9.375" style="2" bestFit="1" customWidth="1"/>
    <col min="17" max="17" width="10.50390625" style="2" customWidth="1"/>
    <col min="18" max="18" width="10.00390625" style="2" bestFit="1" customWidth="1"/>
    <col min="19" max="19" width="12.375" style="2" bestFit="1" customWidth="1"/>
    <col min="20" max="20" width="13.375" style="2" bestFit="1" customWidth="1"/>
    <col min="21" max="21" width="9.375" style="2" bestFit="1" customWidth="1"/>
    <col min="22" max="22" width="10.00390625" style="2" customWidth="1"/>
    <col min="23" max="23" width="13.375" style="2" customWidth="1"/>
    <col min="24" max="24" width="9.375" style="2" bestFit="1" customWidth="1"/>
    <col min="25" max="25" width="11.375" style="2" bestFit="1" customWidth="1"/>
    <col min="26" max="26" width="15.00390625" style="29" hidden="1" customWidth="1"/>
    <col min="27" max="16384" width="9.125" style="2" customWidth="1"/>
  </cols>
  <sheetData>
    <row r="1" ht="21" customHeight="1">
      <c r="M1" s="16"/>
    </row>
    <row r="2" ht="21" customHeight="1">
      <c r="M2" s="16"/>
    </row>
    <row r="3" ht="21" customHeight="1">
      <c r="M3" s="16"/>
    </row>
    <row r="4" ht="6.75" customHeight="1">
      <c r="M4" s="16"/>
    </row>
    <row r="5" ht="21" customHeight="1">
      <c r="M5" s="16"/>
    </row>
    <row r="6" ht="3.75" customHeight="1">
      <c r="M6" s="16"/>
    </row>
    <row r="7" spans="1:26" s="3" customFormat="1" ht="21.75" customHeight="1">
      <c r="A7" s="14"/>
      <c r="B7" s="17"/>
      <c r="I7" s="17"/>
      <c r="Z7" s="30"/>
    </row>
    <row r="8" spans="1:15" ht="45.75" customHeight="1">
      <c r="A8" s="42" t="s">
        <v>414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2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ht="21" customHeight="1"/>
    <row r="11" spans="1:26" s="4" customFormat="1" ht="81.75" customHeight="1">
      <c r="A11" s="38" t="s">
        <v>92</v>
      </c>
      <c r="B11" s="38" t="s">
        <v>183</v>
      </c>
      <c r="C11" s="38" t="s">
        <v>113</v>
      </c>
      <c r="D11" s="38" t="s">
        <v>112</v>
      </c>
      <c r="E11" s="38" t="s">
        <v>184</v>
      </c>
      <c r="F11" s="38" t="s">
        <v>208</v>
      </c>
      <c r="G11" s="38" t="s">
        <v>182</v>
      </c>
      <c r="H11" s="38" t="s">
        <v>218</v>
      </c>
      <c r="I11" s="38" t="s">
        <v>183</v>
      </c>
      <c r="J11" s="38" t="s">
        <v>113</v>
      </c>
      <c r="K11" s="38" t="s">
        <v>112</v>
      </c>
      <c r="L11" s="38" t="s">
        <v>184</v>
      </c>
      <c r="M11" s="18" t="s">
        <v>208</v>
      </c>
      <c r="N11" s="38" t="s">
        <v>182</v>
      </c>
      <c r="O11" s="36" t="s">
        <v>218</v>
      </c>
      <c r="P11" s="41" t="s">
        <v>378</v>
      </c>
      <c r="Q11" s="41"/>
      <c r="R11" s="41"/>
      <c r="S11" s="41"/>
      <c r="T11" s="41"/>
      <c r="U11" s="41"/>
      <c r="V11" s="41" t="s">
        <v>379</v>
      </c>
      <c r="W11" s="41"/>
      <c r="X11" s="41"/>
      <c r="Y11" s="41"/>
      <c r="Z11" s="41"/>
    </row>
    <row r="12" spans="1:26" s="4" customFormat="1" ht="16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8"/>
      <c r="N12" s="38"/>
      <c r="O12" s="38"/>
      <c r="P12" s="40" t="s">
        <v>380</v>
      </c>
      <c r="Q12" s="40" t="s">
        <v>420</v>
      </c>
      <c r="R12" s="40" t="s">
        <v>382</v>
      </c>
      <c r="S12" s="40" t="s">
        <v>383</v>
      </c>
      <c r="T12" s="40" t="s">
        <v>386</v>
      </c>
      <c r="U12" s="7" t="s">
        <v>388</v>
      </c>
      <c r="V12" s="40" t="s">
        <v>387</v>
      </c>
      <c r="W12" s="40" t="s">
        <v>416</v>
      </c>
      <c r="X12" s="40" t="s">
        <v>384</v>
      </c>
      <c r="Y12" s="40" t="s">
        <v>415</v>
      </c>
      <c r="Z12" s="57" t="s">
        <v>385</v>
      </c>
    </row>
    <row r="13" spans="1:26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8"/>
      <c r="Q13" s="9"/>
      <c r="R13" s="9"/>
      <c r="S13" s="9"/>
      <c r="T13" s="9"/>
      <c r="U13" s="9"/>
      <c r="V13" s="9"/>
      <c r="W13" s="9"/>
      <c r="X13" s="9"/>
      <c r="Y13" s="9"/>
      <c r="Z13" s="58"/>
    </row>
    <row r="14" spans="1:27" ht="27" customHeight="1">
      <c r="A14" s="19"/>
      <c r="B14" s="20"/>
      <c r="C14" s="20"/>
      <c r="D14" s="20"/>
      <c r="E14" s="20"/>
      <c r="F14" s="20"/>
      <c r="G14" s="20"/>
      <c r="H14" s="20"/>
      <c r="I14" s="52" t="s">
        <v>391</v>
      </c>
      <c r="J14" s="52"/>
      <c r="K14" s="52"/>
      <c r="L14" s="52"/>
      <c r="M14" s="38">
        <v>100</v>
      </c>
      <c r="N14" s="20"/>
      <c r="O14" s="20"/>
      <c r="P14" s="11">
        <f>(P15+P45+P86+P89+P99+P104)/6</f>
        <v>98.63260611868333</v>
      </c>
      <c r="Q14" s="11">
        <f aca="true" t="shared" si="0" ref="Q14:Z14">(Q15+Q45+Q86+Q89+Q99+Q104+Q109)/7</f>
        <v>83.7138406764575</v>
      </c>
      <c r="R14" s="11">
        <f t="shared" si="0"/>
        <v>98.52259487593328</v>
      </c>
      <c r="S14" s="11">
        <f t="shared" si="0"/>
        <v>83.82124488244811</v>
      </c>
      <c r="T14" s="11">
        <f t="shared" si="0"/>
        <v>83.41899989186811</v>
      </c>
      <c r="U14" s="11">
        <f t="shared" si="0"/>
        <v>76.62745960998242</v>
      </c>
      <c r="V14" s="11">
        <f>(V15+V45+V86+V89+V99+V104+V109)/7</f>
        <v>76.8112942085489</v>
      </c>
      <c r="W14" s="11">
        <f>(W15+W45+W86+W89+W99+W104+W109)/7</f>
        <v>94.238445159918</v>
      </c>
      <c r="X14" s="11">
        <f t="shared" si="0"/>
        <v>80.54541295833488</v>
      </c>
      <c r="Y14" s="11">
        <f t="shared" si="0"/>
        <v>78.60021126827185</v>
      </c>
      <c r="Z14" s="11" t="e">
        <f t="shared" si="0"/>
        <v>#VALUE!</v>
      </c>
      <c r="AA14" s="2">
        <f>(P14+Q14+V14+W14+R14+S14+T14+U14+X14+Y14)/10</f>
        <v>85.49321096504464</v>
      </c>
    </row>
    <row r="15" spans="1:27" ht="27" customHeight="1">
      <c r="A15" s="21" t="s">
        <v>195</v>
      </c>
      <c r="B15" s="39"/>
      <c r="C15" s="20"/>
      <c r="D15" s="20"/>
      <c r="E15" s="20"/>
      <c r="F15" s="20"/>
      <c r="G15" s="20"/>
      <c r="H15" s="20"/>
      <c r="I15" s="53" t="s">
        <v>46</v>
      </c>
      <c r="J15" s="53"/>
      <c r="K15" s="53"/>
      <c r="L15" s="53"/>
      <c r="M15" s="53"/>
      <c r="N15" s="53"/>
      <c r="O15" s="53"/>
      <c r="P15" s="59">
        <f>(P16+P20+P23+P24+P25+P26+P27+P29+P42)/9</f>
        <v>99.50802399259356</v>
      </c>
      <c r="Q15" s="59">
        <f>(Q16+Q20+Q23+Q24+Q25+Q27+Q26+Q29+Q30)/9</f>
        <v>100</v>
      </c>
      <c r="R15" s="59">
        <f>(R16+R20+R23+R24+R25+R26+R27+R29+R30+R36+R42)/11</f>
        <v>97.16214995029496</v>
      </c>
      <c r="S15" s="59">
        <f>(S16+S20+S23+S24+S25+S26+S27+S30+S29+S36+S38+S42)/12</f>
        <v>85.65773046949677</v>
      </c>
      <c r="T15" s="59">
        <f>(T16+T20+T23+T24+T25+T26+T27+T29+T30+T42)/10</f>
        <v>100</v>
      </c>
      <c r="U15" s="59">
        <f>(U16+U20+U23+U24+U25+U26+U27+U29+U30+U36+U38+U42)/12</f>
        <v>92.70391239388863</v>
      </c>
      <c r="V15" s="59">
        <f>(V16+V20+V23+V24+V25+V26+V27+V29+V30+V36+V38+V40+V42+V43)/15</f>
        <v>82.86492885004091</v>
      </c>
      <c r="W15" s="59">
        <f>(W16+W20+W23+W24+W25+W26+W27+W29+W30+W36+W40+W42+W43)/13</f>
        <v>87.3266446600635</v>
      </c>
      <c r="X15" s="59">
        <f>(X16+X20+X23+X24+X25+X26+X27+X30+X29+X36+X38+X40+X42+X43)/14</f>
        <v>91.39711705094295</v>
      </c>
      <c r="Y15" s="59">
        <f>(Y16+Y20+Y23+Y24+Y25+Y26+Y27+Y29+Y30+Y36+Y40+Y42+Y43)/13</f>
        <v>89.02416381071897</v>
      </c>
      <c r="Z15" s="59">
        <f>(Z24+Z25+Z26+Z27+Z29+Z30)/6</f>
        <v>83.33333333333333</v>
      </c>
      <c r="AA15" s="2">
        <f>(P15+Q15+V15+W15+R15+S15+T15+U15+X15+Y15)/10</f>
        <v>92.56446711780401</v>
      </c>
    </row>
    <row r="16" spans="1:26" s="3" customFormat="1" ht="100.5" customHeight="1">
      <c r="A16" s="60" t="s">
        <v>156</v>
      </c>
      <c r="B16" s="45" t="s">
        <v>157</v>
      </c>
      <c r="C16" s="46" t="s">
        <v>158</v>
      </c>
      <c r="D16" s="45" t="s">
        <v>159</v>
      </c>
      <c r="E16" s="37" t="s">
        <v>160</v>
      </c>
      <c r="F16" s="38"/>
      <c r="G16" s="46" t="s">
        <v>114</v>
      </c>
      <c r="H16" s="45" t="s">
        <v>161</v>
      </c>
      <c r="I16" s="61" t="s">
        <v>392</v>
      </c>
      <c r="J16" s="62" t="s">
        <v>158</v>
      </c>
      <c r="K16" s="61" t="s">
        <v>393</v>
      </c>
      <c r="L16" s="37" t="s">
        <v>322</v>
      </c>
      <c r="M16" s="38"/>
      <c r="N16" s="38" t="s">
        <v>114</v>
      </c>
      <c r="O16" s="37" t="s">
        <v>394</v>
      </c>
      <c r="P16" s="63">
        <v>100</v>
      </c>
      <c r="Q16" s="63">
        <v>100</v>
      </c>
      <c r="R16" s="64">
        <v>100</v>
      </c>
      <c r="S16" s="63">
        <v>100</v>
      </c>
      <c r="T16" s="65">
        <v>100</v>
      </c>
      <c r="U16" s="65">
        <v>100</v>
      </c>
      <c r="V16" s="66">
        <v>100</v>
      </c>
      <c r="W16" s="65">
        <v>100</v>
      </c>
      <c r="X16" s="65">
        <v>100</v>
      </c>
      <c r="Y16" s="65">
        <v>100</v>
      </c>
      <c r="Z16" s="63" t="s">
        <v>200</v>
      </c>
    </row>
    <row r="17" spans="1:26" s="3" customFormat="1" ht="15">
      <c r="A17" s="60"/>
      <c r="B17" s="45"/>
      <c r="C17" s="46"/>
      <c r="D17" s="45"/>
      <c r="E17" s="67" t="s">
        <v>162</v>
      </c>
      <c r="F17" s="38">
        <v>100</v>
      </c>
      <c r="G17" s="46"/>
      <c r="H17" s="45"/>
      <c r="I17" s="68"/>
      <c r="J17" s="69"/>
      <c r="K17" s="68"/>
      <c r="L17" s="67" t="s">
        <v>162</v>
      </c>
      <c r="M17" s="38">
        <v>100</v>
      </c>
      <c r="N17" s="38"/>
      <c r="O17" s="37"/>
      <c r="P17" s="70"/>
      <c r="Q17" s="70"/>
      <c r="R17" s="71"/>
      <c r="S17" s="70"/>
      <c r="T17" s="72"/>
      <c r="U17" s="72"/>
      <c r="V17" s="73"/>
      <c r="W17" s="72"/>
      <c r="X17" s="72"/>
      <c r="Y17" s="72"/>
      <c r="Z17" s="70"/>
    </row>
    <row r="18" spans="1:26" s="3" customFormat="1" ht="15">
      <c r="A18" s="60"/>
      <c r="B18" s="45"/>
      <c r="C18" s="46"/>
      <c r="D18" s="45"/>
      <c r="E18" s="67" t="s">
        <v>163</v>
      </c>
      <c r="F18" s="38">
        <v>0</v>
      </c>
      <c r="G18" s="46"/>
      <c r="H18" s="45"/>
      <c r="I18" s="68"/>
      <c r="J18" s="69"/>
      <c r="K18" s="68"/>
      <c r="L18" s="67" t="s">
        <v>163</v>
      </c>
      <c r="M18" s="38">
        <v>0</v>
      </c>
      <c r="N18" s="38"/>
      <c r="O18" s="37"/>
      <c r="P18" s="70"/>
      <c r="Q18" s="70"/>
      <c r="R18" s="71"/>
      <c r="S18" s="70"/>
      <c r="T18" s="72"/>
      <c r="U18" s="72"/>
      <c r="V18" s="73"/>
      <c r="W18" s="72"/>
      <c r="X18" s="72"/>
      <c r="Y18" s="72"/>
      <c r="Z18" s="70"/>
    </row>
    <row r="19" spans="1:26" s="3" customFormat="1" ht="197.25" customHeight="1">
      <c r="A19" s="60"/>
      <c r="B19" s="45"/>
      <c r="C19" s="46"/>
      <c r="D19" s="45"/>
      <c r="E19" s="67" t="s">
        <v>164</v>
      </c>
      <c r="F19" s="38" t="s">
        <v>200</v>
      </c>
      <c r="G19" s="46"/>
      <c r="H19" s="45"/>
      <c r="I19" s="74"/>
      <c r="J19" s="75"/>
      <c r="K19" s="74"/>
      <c r="L19" s="67" t="s">
        <v>164</v>
      </c>
      <c r="M19" s="38" t="s">
        <v>200</v>
      </c>
      <c r="N19" s="38"/>
      <c r="O19" s="37"/>
      <c r="P19" s="76"/>
      <c r="Q19" s="76"/>
      <c r="R19" s="77"/>
      <c r="S19" s="76"/>
      <c r="T19" s="78"/>
      <c r="U19" s="78"/>
      <c r="V19" s="79"/>
      <c r="W19" s="78"/>
      <c r="X19" s="78"/>
      <c r="Y19" s="78"/>
      <c r="Z19" s="76"/>
    </row>
    <row r="20" spans="1:26" s="3" customFormat="1" ht="54" customHeight="1">
      <c r="A20" s="80" t="s">
        <v>165</v>
      </c>
      <c r="B20" s="45" t="s">
        <v>166</v>
      </c>
      <c r="C20" s="46" t="s">
        <v>167</v>
      </c>
      <c r="D20" s="45" t="s">
        <v>168</v>
      </c>
      <c r="E20" s="37" t="s">
        <v>169</v>
      </c>
      <c r="F20" s="38">
        <v>100</v>
      </c>
      <c r="G20" s="46" t="s">
        <v>114</v>
      </c>
      <c r="H20" s="45" t="s">
        <v>170</v>
      </c>
      <c r="I20" s="45" t="s">
        <v>395</v>
      </c>
      <c r="J20" s="46" t="s">
        <v>167</v>
      </c>
      <c r="K20" s="45" t="s">
        <v>396</v>
      </c>
      <c r="L20" s="37" t="s">
        <v>169</v>
      </c>
      <c r="M20" s="38">
        <v>100</v>
      </c>
      <c r="N20" s="46" t="s">
        <v>114</v>
      </c>
      <c r="O20" s="45" t="s">
        <v>397</v>
      </c>
      <c r="P20" s="63">
        <v>100</v>
      </c>
      <c r="Q20" s="63">
        <v>100</v>
      </c>
      <c r="R20" s="65">
        <v>100</v>
      </c>
      <c r="S20" s="63">
        <v>100</v>
      </c>
      <c r="T20" s="65">
        <v>100</v>
      </c>
      <c r="U20" s="65">
        <v>100</v>
      </c>
      <c r="V20" s="63">
        <v>100</v>
      </c>
      <c r="W20" s="65">
        <v>100</v>
      </c>
      <c r="X20" s="65">
        <v>100</v>
      </c>
      <c r="Y20" s="65">
        <v>100</v>
      </c>
      <c r="Z20" s="63" t="s">
        <v>200</v>
      </c>
    </row>
    <row r="21" spans="1:26" s="3" customFormat="1" ht="76.5" customHeight="1">
      <c r="A21" s="80"/>
      <c r="B21" s="45"/>
      <c r="C21" s="46"/>
      <c r="D21" s="45"/>
      <c r="E21" s="37" t="s">
        <v>171</v>
      </c>
      <c r="F21" s="38">
        <v>0</v>
      </c>
      <c r="G21" s="46"/>
      <c r="H21" s="45"/>
      <c r="I21" s="45"/>
      <c r="J21" s="46"/>
      <c r="K21" s="45"/>
      <c r="L21" s="37" t="s">
        <v>171</v>
      </c>
      <c r="M21" s="38">
        <v>0</v>
      </c>
      <c r="N21" s="46"/>
      <c r="O21" s="45"/>
      <c r="P21" s="70"/>
      <c r="Q21" s="70"/>
      <c r="R21" s="72"/>
      <c r="S21" s="70"/>
      <c r="T21" s="72"/>
      <c r="U21" s="72"/>
      <c r="V21" s="70"/>
      <c r="W21" s="72"/>
      <c r="X21" s="72"/>
      <c r="Y21" s="72"/>
      <c r="Z21" s="70"/>
    </row>
    <row r="22" spans="1:26" s="3" customFormat="1" ht="56.25" customHeight="1">
      <c r="A22" s="80"/>
      <c r="B22" s="45"/>
      <c r="C22" s="46"/>
      <c r="D22" s="45"/>
      <c r="E22" s="37" t="s">
        <v>164</v>
      </c>
      <c r="F22" s="38" t="s">
        <v>200</v>
      </c>
      <c r="G22" s="46"/>
      <c r="H22" s="45"/>
      <c r="I22" s="45"/>
      <c r="J22" s="46"/>
      <c r="K22" s="45"/>
      <c r="L22" s="37" t="s">
        <v>164</v>
      </c>
      <c r="M22" s="38" t="s">
        <v>200</v>
      </c>
      <c r="N22" s="46"/>
      <c r="O22" s="45"/>
      <c r="P22" s="76"/>
      <c r="Q22" s="76"/>
      <c r="R22" s="78"/>
      <c r="S22" s="76"/>
      <c r="T22" s="78"/>
      <c r="U22" s="78"/>
      <c r="V22" s="76"/>
      <c r="W22" s="78"/>
      <c r="X22" s="78"/>
      <c r="Y22" s="78"/>
      <c r="Z22" s="76"/>
    </row>
    <row r="23" spans="1:26" s="3" customFormat="1" ht="218.25" customHeight="1">
      <c r="A23" s="24" t="s">
        <v>219</v>
      </c>
      <c r="B23" s="37" t="s">
        <v>116</v>
      </c>
      <c r="C23" s="38" t="s">
        <v>115</v>
      </c>
      <c r="D23" s="37" t="s">
        <v>38</v>
      </c>
      <c r="E23" s="81" t="s">
        <v>271</v>
      </c>
      <c r="F23" s="38" t="s">
        <v>217</v>
      </c>
      <c r="G23" s="38" t="s">
        <v>114</v>
      </c>
      <c r="H23" s="37" t="s">
        <v>117</v>
      </c>
      <c r="I23" s="37" t="s">
        <v>273</v>
      </c>
      <c r="J23" s="38" t="s">
        <v>115</v>
      </c>
      <c r="K23" s="37" t="s">
        <v>306</v>
      </c>
      <c r="L23" s="81" t="s">
        <v>327</v>
      </c>
      <c r="M23" s="38" t="s">
        <v>217</v>
      </c>
      <c r="N23" s="38" t="s">
        <v>114</v>
      </c>
      <c r="O23" s="37" t="s">
        <v>305</v>
      </c>
      <c r="P23" s="82">
        <v>100</v>
      </c>
      <c r="Q23" s="82">
        <v>100</v>
      </c>
      <c r="R23" s="82">
        <v>100</v>
      </c>
      <c r="S23" s="82">
        <v>100</v>
      </c>
      <c r="T23" s="82">
        <v>100</v>
      </c>
      <c r="U23" s="82">
        <v>100</v>
      </c>
      <c r="V23" s="82">
        <v>100</v>
      </c>
      <c r="W23" s="82">
        <v>100</v>
      </c>
      <c r="X23" s="82">
        <v>100</v>
      </c>
      <c r="Y23" s="82">
        <v>100</v>
      </c>
      <c r="Z23" s="83" t="s">
        <v>200</v>
      </c>
    </row>
    <row r="24" spans="1:26" s="3" customFormat="1" ht="231" customHeight="1">
      <c r="A24" s="24" t="s">
        <v>220</v>
      </c>
      <c r="B24" s="84" t="s">
        <v>150</v>
      </c>
      <c r="C24" s="85" t="s">
        <v>118</v>
      </c>
      <c r="D24" s="37" t="s">
        <v>93</v>
      </c>
      <c r="E24" s="81" t="s">
        <v>272</v>
      </c>
      <c r="F24" s="38" t="s">
        <v>217</v>
      </c>
      <c r="G24" s="38" t="s">
        <v>114</v>
      </c>
      <c r="H24" s="37" t="s">
        <v>129</v>
      </c>
      <c r="I24" s="84" t="s">
        <v>274</v>
      </c>
      <c r="J24" s="85" t="s">
        <v>118</v>
      </c>
      <c r="K24" s="37" t="s">
        <v>306</v>
      </c>
      <c r="L24" s="81" t="s">
        <v>272</v>
      </c>
      <c r="M24" s="38" t="s">
        <v>217</v>
      </c>
      <c r="N24" s="38" t="s">
        <v>114</v>
      </c>
      <c r="O24" s="86" t="s">
        <v>366</v>
      </c>
      <c r="P24" s="82">
        <v>100</v>
      </c>
      <c r="Q24" s="82">
        <v>100</v>
      </c>
      <c r="R24" s="82">
        <v>100</v>
      </c>
      <c r="S24" s="82">
        <v>100</v>
      </c>
      <c r="T24" s="82">
        <v>100</v>
      </c>
      <c r="U24" s="82">
        <v>100</v>
      </c>
      <c r="V24" s="82">
        <v>100</v>
      </c>
      <c r="W24" s="82">
        <v>100</v>
      </c>
      <c r="X24" s="82">
        <v>100</v>
      </c>
      <c r="Y24" s="82">
        <v>100</v>
      </c>
      <c r="Z24" s="82">
        <v>100</v>
      </c>
    </row>
    <row r="25" spans="1:26" s="3" customFormat="1" ht="211.5" customHeight="1">
      <c r="A25" s="24" t="s">
        <v>221</v>
      </c>
      <c r="B25" s="87" t="s">
        <v>60</v>
      </c>
      <c r="C25" s="38" t="s">
        <v>119</v>
      </c>
      <c r="D25" s="67" t="s">
        <v>94</v>
      </c>
      <c r="E25" s="86" t="s">
        <v>0</v>
      </c>
      <c r="F25" s="38" t="s">
        <v>217</v>
      </c>
      <c r="G25" s="38" t="s">
        <v>121</v>
      </c>
      <c r="H25" s="67" t="s">
        <v>111</v>
      </c>
      <c r="I25" s="67" t="s">
        <v>275</v>
      </c>
      <c r="J25" s="38" t="s">
        <v>307</v>
      </c>
      <c r="K25" s="67" t="s">
        <v>278</v>
      </c>
      <c r="L25" s="86" t="s">
        <v>276</v>
      </c>
      <c r="M25" s="38" t="s">
        <v>217</v>
      </c>
      <c r="N25" s="38" t="s">
        <v>87</v>
      </c>
      <c r="O25" s="67" t="s">
        <v>277</v>
      </c>
      <c r="P25" s="82">
        <v>100</v>
      </c>
      <c r="Q25" s="82">
        <v>100</v>
      </c>
      <c r="R25" s="82">
        <v>100</v>
      </c>
      <c r="S25" s="82">
        <v>100</v>
      </c>
      <c r="T25" s="82">
        <v>100</v>
      </c>
      <c r="U25" s="82">
        <v>100</v>
      </c>
      <c r="V25" s="82">
        <v>100</v>
      </c>
      <c r="W25" s="82">
        <v>100</v>
      </c>
      <c r="X25" s="82">
        <v>100</v>
      </c>
      <c r="Y25" s="82">
        <v>100</v>
      </c>
      <c r="Z25" s="82">
        <v>100</v>
      </c>
    </row>
    <row r="26" spans="1:26" s="3" customFormat="1" ht="409.5" customHeight="1">
      <c r="A26" s="24" t="s">
        <v>222</v>
      </c>
      <c r="B26" s="37" t="s">
        <v>249</v>
      </c>
      <c r="C26" s="38" t="s">
        <v>120</v>
      </c>
      <c r="D26" s="37" t="s">
        <v>95</v>
      </c>
      <c r="E26" s="37" t="s">
        <v>172</v>
      </c>
      <c r="F26" s="38" t="s">
        <v>217</v>
      </c>
      <c r="G26" s="38" t="s">
        <v>121</v>
      </c>
      <c r="H26" s="37" t="s">
        <v>250</v>
      </c>
      <c r="I26" s="67" t="s">
        <v>341</v>
      </c>
      <c r="J26" s="38" t="s">
        <v>308</v>
      </c>
      <c r="K26" s="37" t="s">
        <v>342</v>
      </c>
      <c r="L26" s="37" t="s">
        <v>343</v>
      </c>
      <c r="M26" s="38" t="s">
        <v>217</v>
      </c>
      <c r="N26" s="38" t="s">
        <v>114</v>
      </c>
      <c r="O26" s="37" t="s">
        <v>367</v>
      </c>
      <c r="P26" s="82">
        <v>100</v>
      </c>
      <c r="Q26" s="82">
        <v>100</v>
      </c>
      <c r="R26" s="82">
        <v>100</v>
      </c>
      <c r="S26" s="82">
        <v>100</v>
      </c>
      <c r="T26" s="82">
        <v>100</v>
      </c>
      <c r="U26" s="82">
        <v>100</v>
      </c>
      <c r="V26" s="82">
        <v>100</v>
      </c>
      <c r="W26" s="82">
        <v>100</v>
      </c>
      <c r="X26" s="82">
        <v>100</v>
      </c>
      <c r="Y26" s="82">
        <v>100</v>
      </c>
      <c r="Z26" s="82">
        <v>100</v>
      </c>
    </row>
    <row r="27" spans="1:26" s="3" customFormat="1" ht="109.5" customHeight="1">
      <c r="A27" s="88" t="s">
        <v>223</v>
      </c>
      <c r="B27" s="45" t="s">
        <v>252</v>
      </c>
      <c r="C27" s="46" t="s">
        <v>269</v>
      </c>
      <c r="D27" s="45" t="s">
        <v>123</v>
      </c>
      <c r="E27" s="81" t="s">
        <v>201</v>
      </c>
      <c r="F27" s="38">
        <v>100</v>
      </c>
      <c r="G27" s="46" t="s">
        <v>121</v>
      </c>
      <c r="H27" s="45" t="s">
        <v>151</v>
      </c>
      <c r="I27" s="89" t="s">
        <v>344</v>
      </c>
      <c r="J27" s="46" t="s">
        <v>329</v>
      </c>
      <c r="K27" s="45" t="s">
        <v>123</v>
      </c>
      <c r="L27" s="81" t="s">
        <v>345</v>
      </c>
      <c r="M27" s="38">
        <v>100</v>
      </c>
      <c r="N27" s="46" t="s">
        <v>114</v>
      </c>
      <c r="O27" s="45" t="s">
        <v>151</v>
      </c>
      <c r="P27" s="65">
        <v>100</v>
      </c>
      <c r="Q27" s="65">
        <v>100</v>
      </c>
      <c r="R27" s="65">
        <v>100</v>
      </c>
      <c r="S27" s="65">
        <v>100</v>
      </c>
      <c r="T27" s="65">
        <v>100</v>
      </c>
      <c r="U27" s="65">
        <v>100</v>
      </c>
      <c r="V27" s="65">
        <v>100</v>
      </c>
      <c r="W27" s="65">
        <v>100</v>
      </c>
      <c r="X27" s="65">
        <v>100</v>
      </c>
      <c r="Y27" s="65">
        <v>100</v>
      </c>
      <c r="Z27" s="65">
        <v>100</v>
      </c>
    </row>
    <row r="28" spans="1:26" s="3" customFormat="1" ht="124.5" customHeight="1">
      <c r="A28" s="90"/>
      <c r="B28" s="45"/>
      <c r="C28" s="46"/>
      <c r="D28" s="45"/>
      <c r="E28" s="81" t="s">
        <v>202</v>
      </c>
      <c r="F28" s="38">
        <v>0</v>
      </c>
      <c r="G28" s="46"/>
      <c r="H28" s="45"/>
      <c r="I28" s="91"/>
      <c r="J28" s="46"/>
      <c r="K28" s="45"/>
      <c r="L28" s="81" t="s">
        <v>346</v>
      </c>
      <c r="M28" s="38">
        <v>0</v>
      </c>
      <c r="N28" s="46"/>
      <c r="O28" s="45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s="3" customFormat="1" ht="408.75" customHeight="1">
      <c r="A29" s="92" t="s">
        <v>225</v>
      </c>
      <c r="B29" s="37" t="s">
        <v>251</v>
      </c>
      <c r="C29" s="38" t="s">
        <v>270</v>
      </c>
      <c r="D29" s="37" t="s">
        <v>123</v>
      </c>
      <c r="E29" s="37" t="s">
        <v>1</v>
      </c>
      <c r="F29" s="38" t="s">
        <v>217</v>
      </c>
      <c r="G29" s="37" t="s">
        <v>121</v>
      </c>
      <c r="H29" s="37" t="s">
        <v>268</v>
      </c>
      <c r="I29" s="37" t="s">
        <v>347</v>
      </c>
      <c r="J29" s="38" t="s">
        <v>309</v>
      </c>
      <c r="K29" s="37" t="s">
        <v>123</v>
      </c>
      <c r="L29" s="37" t="s">
        <v>348</v>
      </c>
      <c r="M29" s="38" t="s">
        <v>217</v>
      </c>
      <c r="N29" s="38" t="s">
        <v>114</v>
      </c>
      <c r="O29" s="37" t="s">
        <v>368</v>
      </c>
      <c r="P29" s="82">
        <v>100</v>
      </c>
      <c r="Q29" s="82">
        <v>100</v>
      </c>
      <c r="R29" s="82">
        <v>100</v>
      </c>
      <c r="S29" s="82">
        <v>100</v>
      </c>
      <c r="T29" s="82">
        <v>100</v>
      </c>
      <c r="U29" s="82">
        <v>100</v>
      </c>
      <c r="V29" s="82">
        <v>100</v>
      </c>
      <c r="W29" s="82">
        <v>100</v>
      </c>
      <c r="X29" s="82">
        <v>100</v>
      </c>
      <c r="Y29" s="82">
        <v>100</v>
      </c>
      <c r="Z29" s="82">
        <v>100</v>
      </c>
    </row>
    <row r="30" spans="1:26" s="3" customFormat="1" ht="169.5" customHeight="1">
      <c r="A30" s="80" t="s">
        <v>203</v>
      </c>
      <c r="B30" s="93" t="s">
        <v>124</v>
      </c>
      <c r="C30" s="94" t="s">
        <v>122</v>
      </c>
      <c r="D30" s="45" t="s">
        <v>125</v>
      </c>
      <c r="E30" s="37" t="s">
        <v>64</v>
      </c>
      <c r="F30" s="38"/>
      <c r="G30" s="46" t="s">
        <v>114</v>
      </c>
      <c r="H30" s="45" t="s">
        <v>126</v>
      </c>
      <c r="I30" s="93" t="s">
        <v>398</v>
      </c>
      <c r="J30" s="94" t="s">
        <v>310</v>
      </c>
      <c r="K30" s="45" t="s">
        <v>279</v>
      </c>
      <c r="L30" s="37" t="s">
        <v>399</v>
      </c>
      <c r="M30" s="38"/>
      <c r="N30" s="46" t="s">
        <v>114</v>
      </c>
      <c r="O30" s="45" t="s">
        <v>400</v>
      </c>
      <c r="P30" s="63" t="s">
        <v>200</v>
      </c>
      <c r="Q30" s="63">
        <v>100</v>
      </c>
      <c r="R30" s="65">
        <v>100</v>
      </c>
      <c r="S30" s="65">
        <v>0</v>
      </c>
      <c r="T30" s="65">
        <v>100</v>
      </c>
      <c r="U30" s="65">
        <v>80</v>
      </c>
      <c r="V30" s="95">
        <v>100</v>
      </c>
      <c r="W30" s="65">
        <v>80</v>
      </c>
      <c r="X30" s="65">
        <v>80</v>
      </c>
      <c r="Y30" s="65">
        <v>100</v>
      </c>
      <c r="Z30" s="65">
        <v>0</v>
      </c>
    </row>
    <row r="31" spans="1:26" s="3" customFormat="1" ht="22.5" customHeight="1">
      <c r="A31" s="80"/>
      <c r="B31" s="93"/>
      <c r="C31" s="94"/>
      <c r="D31" s="45"/>
      <c r="E31" s="96" t="s">
        <v>130</v>
      </c>
      <c r="F31" s="38">
        <v>100</v>
      </c>
      <c r="G31" s="46"/>
      <c r="H31" s="45"/>
      <c r="I31" s="93"/>
      <c r="J31" s="94"/>
      <c r="K31" s="45"/>
      <c r="L31" s="96" t="s">
        <v>130</v>
      </c>
      <c r="M31" s="38">
        <v>100</v>
      </c>
      <c r="N31" s="46"/>
      <c r="O31" s="45"/>
      <c r="P31" s="70"/>
      <c r="Q31" s="70"/>
      <c r="R31" s="72"/>
      <c r="S31" s="72"/>
      <c r="T31" s="72"/>
      <c r="U31" s="72"/>
      <c r="V31" s="97"/>
      <c r="W31" s="72"/>
      <c r="X31" s="72"/>
      <c r="Y31" s="72"/>
      <c r="Z31" s="72"/>
    </row>
    <row r="32" spans="1:26" s="3" customFormat="1" ht="22.5" customHeight="1">
      <c r="A32" s="80"/>
      <c r="B32" s="93"/>
      <c r="C32" s="94"/>
      <c r="D32" s="45"/>
      <c r="E32" s="96" t="s">
        <v>131</v>
      </c>
      <c r="F32" s="38">
        <v>80</v>
      </c>
      <c r="G32" s="46"/>
      <c r="H32" s="45"/>
      <c r="I32" s="93"/>
      <c r="J32" s="94"/>
      <c r="K32" s="45"/>
      <c r="L32" s="96" t="s">
        <v>131</v>
      </c>
      <c r="M32" s="38">
        <v>80</v>
      </c>
      <c r="N32" s="46"/>
      <c r="O32" s="45"/>
      <c r="P32" s="70"/>
      <c r="Q32" s="70"/>
      <c r="R32" s="72"/>
      <c r="S32" s="72"/>
      <c r="T32" s="72"/>
      <c r="U32" s="72"/>
      <c r="V32" s="97"/>
      <c r="W32" s="72"/>
      <c r="X32" s="72"/>
      <c r="Y32" s="72"/>
      <c r="Z32" s="72"/>
    </row>
    <row r="33" spans="1:26" s="3" customFormat="1" ht="22.5" customHeight="1">
      <c r="A33" s="80"/>
      <c r="B33" s="93"/>
      <c r="C33" s="94"/>
      <c r="D33" s="45"/>
      <c r="E33" s="96" t="s">
        <v>132</v>
      </c>
      <c r="F33" s="38">
        <v>0</v>
      </c>
      <c r="G33" s="46"/>
      <c r="H33" s="45"/>
      <c r="I33" s="93"/>
      <c r="J33" s="94"/>
      <c r="K33" s="45"/>
      <c r="L33" s="96" t="s">
        <v>132</v>
      </c>
      <c r="M33" s="38">
        <v>0</v>
      </c>
      <c r="N33" s="46"/>
      <c r="O33" s="45"/>
      <c r="P33" s="70"/>
      <c r="Q33" s="70"/>
      <c r="R33" s="72"/>
      <c r="S33" s="72"/>
      <c r="T33" s="72"/>
      <c r="U33" s="72"/>
      <c r="V33" s="97"/>
      <c r="W33" s="72"/>
      <c r="X33" s="72"/>
      <c r="Y33" s="72"/>
      <c r="Z33" s="72"/>
    </row>
    <row r="34" spans="1:26" s="3" customFormat="1" ht="54.75" customHeight="1">
      <c r="A34" s="80"/>
      <c r="B34" s="93"/>
      <c r="C34" s="94"/>
      <c r="D34" s="45"/>
      <c r="E34" s="37" t="s">
        <v>133</v>
      </c>
      <c r="F34" s="38" t="s">
        <v>200</v>
      </c>
      <c r="G34" s="46"/>
      <c r="H34" s="45"/>
      <c r="I34" s="93"/>
      <c r="J34" s="94"/>
      <c r="K34" s="45"/>
      <c r="L34" s="37" t="s">
        <v>401</v>
      </c>
      <c r="M34" s="38" t="s">
        <v>200</v>
      </c>
      <c r="N34" s="46"/>
      <c r="O34" s="45"/>
      <c r="P34" s="76"/>
      <c r="Q34" s="76"/>
      <c r="R34" s="78"/>
      <c r="S34" s="78"/>
      <c r="T34" s="78"/>
      <c r="U34" s="78"/>
      <c r="V34" s="98"/>
      <c r="W34" s="78"/>
      <c r="X34" s="78"/>
      <c r="Y34" s="78"/>
      <c r="Z34" s="78"/>
    </row>
    <row r="35" spans="1:26" s="3" customFormat="1" ht="54.75" customHeight="1">
      <c r="A35" s="24"/>
      <c r="B35" s="84"/>
      <c r="C35" s="85"/>
      <c r="D35" s="37"/>
      <c r="E35" s="37"/>
      <c r="F35" s="38"/>
      <c r="G35" s="38"/>
      <c r="H35" s="37"/>
      <c r="I35" s="84"/>
      <c r="J35" s="85"/>
      <c r="K35" s="99"/>
      <c r="L35" s="37"/>
      <c r="M35" s="38"/>
      <c r="N35" s="38"/>
      <c r="O35" s="37" t="s">
        <v>417</v>
      </c>
      <c r="P35" s="100"/>
      <c r="Q35" s="100">
        <f>100*((7485/100807.1)/(6585.9/138886.7))</f>
        <v>156.58357717912526</v>
      </c>
      <c r="R35" s="100">
        <f>100*((773447.7/827929.5)/(654588.8/717722.8))</f>
        <v>102.42966859238625</v>
      </c>
      <c r="S35" s="100">
        <f>100*((641488.5/654821.5)/(898688.5/899430.8))</f>
        <v>98.04478893557096</v>
      </c>
      <c r="T35" s="100">
        <f>100*((477066.1/502490.8)/(543032.8/574181.1))</f>
        <v>100.38602847012108</v>
      </c>
      <c r="U35" s="100">
        <f>100*((561978.7/562003.7)/(340433/340433))</f>
        <v>99.9955516307099</v>
      </c>
      <c r="V35" s="100">
        <f>100*((594797.6/759418.3)/(489928.1/681624.5))</f>
        <v>108.96850485343525</v>
      </c>
      <c r="W35" s="100">
        <f>100*((133885/133885)/(150216.6/150216.6))</f>
        <v>100</v>
      </c>
      <c r="X35" s="100">
        <f>100*((1598624.1/1599335.6)/(1534317.6/1534473.5))</f>
        <v>99.96566912530214</v>
      </c>
      <c r="Y35" s="100">
        <f>100*((198232.4/198344.4)/(218009.5/219060.1))</f>
        <v>100.4251660478377</v>
      </c>
      <c r="Z35" s="100">
        <f>100*((0/397.4)/(2140.2/179915.2))</f>
        <v>0</v>
      </c>
    </row>
    <row r="36" spans="1:26" s="3" customFormat="1" ht="186" customHeight="1">
      <c r="A36" s="80" t="s">
        <v>206</v>
      </c>
      <c r="B36" s="93" t="s">
        <v>235</v>
      </c>
      <c r="C36" s="94" t="s">
        <v>236</v>
      </c>
      <c r="D36" s="45" t="s">
        <v>78</v>
      </c>
      <c r="E36" s="37" t="s">
        <v>66</v>
      </c>
      <c r="F36" s="38" t="s">
        <v>217</v>
      </c>
      <c r="G36" s="46" t="s">
        <v>114</v>
      </c>
      <c r="H36" s="45" t="s">
        <v>237</v>
      </c>
      <c r="I36" s="93" t="s">
        <v>402</v>
      </c>
      <c r="J36" s="94" t="s">
        <v>311</v>
      </c>
      <c r="K36" s="61" t="s">
        <v>403</v>
      </c>
      <c r="L36" s="37" t="s">
        <v>404</v>
      </c>
      <c r="M36" s="38" t="s">
        <v>217</v>
      </c>
      <c r="N36" s="46" t="s">
        <v>114</v>
      </c>
      <c r="O36" s="45" t="s">
        <v>405</v>
      </c>
      <c r="P36" s="63" t="s">
        <v>200</v>
      </c>
      <c r="Q36" s="63" t="s">
        <v>200</v>
      </c>
      <c r="R36" s="65">
        <f>100*(6/8)</f>
        <v>75</v>
      </c>
      <c r="S36" s="95">
        <f>100*(7/19)</f>
        <v>36.84210526315789</v>
      </c>
      <c r="T36" s="63" t="s">
        <v>200</v>
      </c>
      <c r="U36" s="101">
        <f>100*(13/21)</f>
        <v>61.904761904761905</v>
      </c>
      <c r="V36" s="102">
        <f>100*(38/84)</f>
        <v>45.23809523809524</v>
      </c>
      <c r="W36" s="65">
        <f>100*(5/10)</f>
        <v>50</v>
      </c>
      <c r="X36" s="95">
        <f>100*(2/6)</f>
        <v>33.33333333333333</v>
      </c>
      <c r="Y36" s="101">
        <f>100*(7/15)</f>
        <v>46.666666666666664</v>
      </c>
      <c r="Z36" s="63" t="s">
        <v>200</v>
      </c>
    </row>
    <row r="37" spans="1:26" s="3" customFormat="1" ht="59.25" customHeight="1">
      <c r="A37" s="80"/>
      <c r="B37" s="93"/>
      <c r="C37" s="94"/>
      <c r="D37" s="45"/>
      <c r="E37" s="37" t="s">
        <v>241</v>
      </c>
      <c r="F37" s="38" t="s">
        <v>200</v>
      </c>
      <c r="G37" s="46"/>
      <c r="H37" s="45"/>
      <c r="I37" s="93"/>
      <c r="J37" s="94"/>
      <c r="K37" s="74"/>
      <c r="L37" s="37" t="s">
        <v>406</v>
      </c>
      <c r="M37" s="38" t="s">
        <v>200</v>
      </c>
      <c r="N37" s="46"/>
      <c r="O37" s="45"/>
      <c r="P37" s="76"/>
      <c r="Q37" s="76"/>
      <c r="R37" s="78"/>
      <c r="S37" s="98"/>
      <c r="T37" s="76"/>
      <c r="U37" s="103"/>
      <c r="V37" s="104"/>
      <c r="W37" s="78"/>
      <c r="X37" s="98"/>
      <c r="Y37" s="103"/>
      <c r="Z37" s="76"/>
    </row>
    <row r="38" spans="1:26" s="3" customFormat="1" ht="156.75" customHeight="1">
      <c r="A38" s="80" t="s">
        <v>207</v>
      </c>
      <c r="B38" s="45" t="s">
        <v>96</v>
      </c>
      <c r="C38" s="46" t="s">
        <v>127</v>
      </c>
      <c r="D38" s="45" t="s">
        <v>97</v>
      </c>
      <c r="E38" s="37" t="s">
        <v>98</v>
      </c>
      <c r="F38" s="38" t="s">
        <v>217</v>
      </c>
      <c r="G38" s="46" t="s">
        <v>114</v>
      </c>
      <c r="H38" s="45" t="s">
        <v>99</v>
      </c>
      <c r="I38" s="61" t="s">
        <v>350</v>
      </c>
      <c r="J38" s="46" t="s">
        <v>236</v>
      </c>
      <c r="K38" s="45" t="s">
        <v>325</v>
      </c>
      <c r="L38" s="37" t="s">
        <v>351</v>
      </c>
      <c r="M38" s="38" t="s">
        <v>217</v>
      </c>
      <c r="N38" s="46" t="s">
        <v>114</v>
      </c>
      <c r="O38" s="45" t="s">
        <v>352</v>
      </c>
      <c r="P38" s="63" t="s">
        <v>200</v>
      </c>
      <c r="Q38" s="63" t="s">
        <v>200</v>
      </c>
      <c r="R38" s="63" t="s">
        <v>200</v>
      </c>
      <c r="S38" s="101">
        <f>100*(20/20)</f>
        <v>100</v>
      </c>
      <c r="T38" s="63" t="s">
        <v>200</v>
      </c>
      <c r="U38" s="101">
        <f>100*(2/2)</f>
        <v>100</v>
      </c>
      <c r="V38" s="101">
        <f>100*(10/10)</f>
        <v>100</v>
      </c>
      <c r="W38" s="63" t="s">
        <v>200</v>
      </c>
      <c r="X38" s="101">
        <f>100*(6/6)</f>
        <v>100</v>
      </c>
      <c r="Y38" s="63" t="s">
        <v>200</v>
      </c>
      <c r="Z38" s="105" t="s">
        <v>200</v>
      </c>
    </row>
    <row r="39" spans="1:26" s="3" customFormat="1" ht="93" customHeight="1">
      <c r="A39" s="80"/>
      <c r="B39" s="45"/>
      <c r="C39" s="46"/>
      <c r="D39" s="45"/>
      <c r="E39" s="37" t="s">
        <v>134</v>
      </c>
      <c r="F39" s="38" t="s">
        <v>200</v>
      </c>
      <c r="G39" s="46"/>
      <c r="H39" s="45"/>
      <c r="I39" s="74"/>
      <c r="J39" s="46"/>
      <c r="K39" s="45"/>
      <c r="L39" s="37" t="s">
        <v>349</v>
      </c>
      <c r="M39" s="38" t="s">
        <v>200</v>
      </c>
      <c r="N39" s="46"/>
      <c r="O39" s="45"/>
      <c r="P39" s="76"/>
      <c r="Q39" s="76"/>
      <c r="R39" s="76"/>
      <c r="S39" s="103"/>
      <c r="T39" s="76"/>
      <c r="U39" s="103"/>
      <c r="V39" s="103"/>
      <c r="W39" s="76"/>
      <c r="X39" s="103"/>
      <c r="Y39" s="76"/>
      <c r="Z39" s="106"/>
    </row>
    <row r="40" spans="1:26" s="3" customFormat="1" ht="151.5" customHeight="1">
      <c r="A40" s="107" t="s">
        <v>204</v>
      </c>
      <c r="B40" s="45" t="s">
        <v>7</v>
      </c>
      <c r="C40" s="46" t="s">
        <v>256</v>
      </c>
      <c r="D40" s="45" t="s">
        <v>79</v>
      </c>
      <c r="E40" s="37" t="s">
        <v>8</v>
      </c>
      <c r="F40" s="38" t="s">
        <v>217</v>
      </c>
      <c r="G40" s="46" t="s">
        <v>114</v>
      </c>
      <c r="H40" s="45" t="s">
        <v>9</v>
      </c>
      <c r="I40" s="45" t="s">
        <v>7</v>
      </c>
      <c r="J40" s="46" t="s">
        <v>127</v>
      </c>
      <c r="K40" s="45" t="s">
        <v>369</v>
      </c>
      <c r="L40" s="37" t="s">
        <v>8</v>
      </c>
      <c r="M40" s="38" t="s">
        <v>217</v>
      </c>
      <c r="N40" s="46" t="s">
        <v>114</v>
      </c>
      <c r="O40" s="45" t="s">
        <v>9</v>
      </c>
      <c r="P40" s="63" t="s">
        <v>200</v>
      </c>
      <c r="Q40" s="63" t="s">
        <v>200</v>
      </c>
      <c r="R40" s="63" t="s">
        <v>200</v>
      </c>
      <c r="S40" s="63" t="s">
        <v>200</v>
      </c>
      <c r="T40" s="63" t="s">
        <v>200</v>
      </c>
      <c r="U40" s="63" t="s">
        <v>200</v>
      </c>
      <c r="V40" s="105">
        <f>(43009.5/960996.8)*100</f>
        <v>4.475509179635146</v>
      </c>
      <c r="W40" s="101">
        <f>(120195.6/960996.8)*100</f>
        <v>12.507388161958499</v>
      </c>
      <c r="X40" s="101">
        <f>(667852.9/960996.8)*100</f>
        <v>69.49585055850342</v>
      </c>
      <c r="Y40" s="101">
        <f>(129938.8/960996.8)*100</f>
        <v>13.521252099902933</v>
      </c>
      <c r="Z40" s="105" t="s">
        <v>200</v>
      </c>
    </row>
    <row r="41" spans="1:26" s="3" customFormat="1" ht="170.25" customHeight="1">
      <c r="A41" s="107"/>
      <c r="B41" s="45"/>
      <c r="C41" s="46"/>
      <c r="D41" s="45"/>
      <c r="E41" s="37" t="s">
        <v>10</v>
      </c>
      <c r="F41" s="38" t="s">
        <v>200</v>
      </c>
      <c r="G41" s="46"/>
      <c r="H41" s="45"/>
      <c r="I41" s="45"/>
      <c r="J41" s="46"/>
      <c r="K41" s="45"/>
      <c r="L41" s="37" t="s">
        <v>10</v>
      </c>
      <c r="M41" s="38" t="s">
        <v>200</v>
      </c>
      <c r="N41" s="46"/>
      <c r="O41" s="45"/>
      <c r="P41" s="76"/>
      <c r="Q41" s="76"/>
      <c r="R41" s="76"/>
      <c r="S41" s="76"/>
      <c r="T41" s="76"/>
      <c r="U41" s="76"/>
      <c r="V41" s="106"/>
      <c r="W41" s="103"/>
      <c r="X41" s="103"/>
      <c r="Y41" s="103"/>
      <c r="Z41" s="106"/>
    </row>
    <row r="42" spans="1:26" s="3" customFormat="1" ht="262.5" customHeight="1">
      <c r="A42" s="24" t="s">
        <v>205</v>
      </c>
      <c r="B42" s="37" t="s">
        <v>257</v>
      </c>
      <c r="C42" s="38" t="s">
        <v>242</v>
      </c>
      <c r="D42" s="37" t="s">
        <v>139</v>
      </c>
      <c r="E42" s="37" t="s">
        <v>20</v>
      </c>
      <c r="F42" s="38" t="s">
        <v>217</v>
      </c>
      <c r="G42" s="38" t="s">
        <v>121</v>
      </c>
      <c r="H42" s="37" t="s">
        <v>258</v>
      </c>
      <c r="I42" s="37" t="s">
        <v>257</v>
      </c>
      <c r="J42" s="38" t="s">
        <v>256</v>
      </c>
      <c r="K42" s="37" t="s">
        <v>287</v>
      </c>
      <c r="L42" s="37" t="s">
        <v>407</v>
      </c>
      <c r="M42" s="38" t="s">
        <v>217</v>
      </c>
      <c r="N42" s="38" t="s">
        <v>87</v>
      </c>
      <c r="O42" s="37" t="s">
        <v>258</v>
      </c>
      <c r="P42" s="108">
        <f>100-((100*(954.4/21554.8)))</f>
        <v>95.572215933342</v>
      </c>
      <c r="Q42" s="109" t="s">
        <v>200</v>
      </c>
      <c r="R42" s="108">
        <f>100-(100*(51467/827929.5))</f>
        <v>93.78364945324451</v>
      </c>
      <c r="S42" s="108">
        <f>100-((100*(58602.2/654821.5)))</f>
        <v>91.05066037080334</v>
      </c>
      <c r="T42" s="108">
        <f>100-(100*(0/502490.8))</f>
        <v>100</v>
      </c>
      <c r="U42" s="108">
        <f>100-(100*(165554/562003.7))</f>
        <v>70.54218682190171</v>
      </c>
      <c r="V42" s="110">
        <f>100-100*(51182.3/759418.3)</f>
        <v>93.2603283328832</v>
      </c>
      <c r="W42" s="108">
        <f>100-(100*(9721.4/133885))</f>
        <v>92.73899241886694</v>
      </c>
      <c r="X42" s="108">
        <f>100-(100*(52291/1599335.6))</f>
        <v>96.73045482136457</v>
      </c>
      <c r="Y42" s="108">
        <f>100-(100*(5700/198344.4))</f>
        <v>97.12621077277704</v>
      </c>
      <c r="Z42" s="111" t="s">
        <v>200</v>
      </c>
    </row>
    <row r="43" spans="1:26" s="3" customFormat="1" ht="173.25" customHeight="1">
      <c r="A43" s="80" t="s">
        <v>328</v>
      </c>
      <c r="B43" s="45" t="s">
        <v>13</v>
      </c>
      <c r="C43" s="46" t="s">
        <v>243</v>
      </c>
      <c r="D43" s="45" t="s">
        <v>80</v>
      </c>
      <c r="E43" s="81" t="s">
        <v>14</v>
      </c>
      <c r="F43" s="38">
        <v>100</v>
      </c>
      <c r="G43" s="46" t="s">
        <v>114</v>
      </c>
      <c r="H43" s="45" t="s">
        <v>16</v>
      </c>
      <c r="I43" s="45" t="s">
        <v>13</v>
      </c>
      <c r="J43" s="46" t="s">
        <v>242</v>
      </c>
      <c r="K43" s="45" t="s">
        <v>326</v>
      </c>
      <c r="L43" s="81" t="s">
        <v>14</v>
      </c>
      <c r="M43" s="38">
        <v>100</v>
      </c>
      <c r="N43" s="46" t="s">
        <v>114</v>
      </c>
      <c r="O43" s="45" t="s">
        <v>370</v>
      </c>
      <c r="P43" s="63" t="s">
        <v>200</v>
      </c>
      <c r="Q43" s="63" t="s">
        <v>200</v>
      </c>
      <c r="R43" s="63" t="s">
        <v>200</v>
      </c>
      <c r="S43" s="63" t="s">
        <v>200</v>
      </c>
      <c r="T43" s="63" t="s">
        <v>200</v>
      </c>
      <c r="U43" s="63" t="s">
        <v>200</v>
      </c>
      <c r="V43" s="112">
        <v>100</v>
      </c>
      <c r="W43" s="112">
        <v>100</v>
      </c>
      <c r="X43" s="112">
        <v>100</v>
      </c>
      <c r="Y43" s="112">
        <v>100</v>
      </c>
      <c r="Z43" s="112" t="s">
        <v>200</v>
      </c>
    </row>
    <row r="44" spans="1:26" s="3" customFormat="1" ht="147.75" customHeight="1">
      <c r="A44" s="80"/>
      <c r="B44" s="45"/>
      <c r="C44" s="46"/>
      <c r="D44" s="45"/>
      <c r="E44" s="81" t="s">
        <v>15</v>
      </c>
      <c r="F44" s="38">
        <v>0</v>
      </c>
      <c r="G44" s="46"/>
      <c r="H44" s="45"/>
      <c r="I44" s="45"/>
      <c r="J44" s="46"/>
      <c r="K44" s="45"/>
      <c r="L44" s="81" t="s">
        <v>15</v>
      </c>
      <c r="M44" s="38">
        <v>0</v>
      </c>
      <c r="N44" s="46"/>
      <c r="O44" s="45"/>
      <c r="P44" s="76"/>
      <c r="Q44" s="76"/>
      <c r="R44" s="76"/>
      <c r="S44" s="76"/>
      <c r="T44" s="76"/>
      <c r="U44" s="76"/>
      <c r="V44" s="78"/>
      <c r="W44" s="78"/>
      <c r="X44" s="78"/>
      <c r="Y44" s="78"/>
      <c r="Z44" s="78"/>
    </row>
    <row r="45" spans="1:27" s="5" customFormat="1" ht="27" customHeight="1">
      <c r="A45" s="13" t="s">
        <v>353</v>
      </c>
      <c r="B45" s="43" t="s">
        <v>141</v>
      </c>
      <c r="C45" s="43"/>
      <c r="D45" s="43"/>
      <c r="E45" s="43"/>
      <c r="F45" s="43"/>
      <c r="G45" s="43"/>
      <c r="H45" s="43"/>
      <c r="I45" s="44" t="s">
        <v>141</v>
      </c>
      <c r="J45" s="44"/>
      <c r="K45" s="44"/>
      <c r="L45" s="44"/>
      <c r="M45" s="44"/>
      <c r="N45" s="44"/>
      <c r="O45" s="44"/>
      <c r="P45" s="59">
        <f>(P46+P47+P51+P64+P75+P79+P84)/7</f>
        <v>92.28761271950641</v>
      </c>
      <c r="Q45" s="59">
        <f>(Q46+Q47+Q64+Q75+Q79+Q84)/6</f>
        <v>85.9968847352025</v>
      </c>
      <c r="R45" s="59">
        <f>(R46+R47+R51+R56+R64+R65+R71+R75+R79+R84+R85)/11</f>
        <v>92.49601418123804</v>
      </c>
      <c r="S45" s="59">
        <f>(S46+S47+S51+S56+S64+S65+S71+S75+S79+S84+S85)/11</f>
        <v>70.2576503743067</v>
      </c>
      <c r="T45" s="59">
        <f>(T46+T47+T51+T56+T64+T71+T75+T79+T84)/9</f>
        <v>58.932999243076765</v>
      </c>
      <c r="U45" s="59">
        <f>(U46+U47+U51+U56+U64+U65+U71+U75+U79+U84+U85)/11</f>
        <v>77.97087325800035</v>
      </c>
      <c r="V45" s="59">
        <f>(V46+V47+V51+V56+V64+V65+V69+V71+V75+V79+V84+V85)/12</f>
        <v>80.31413060980138</v>
      </c>
      <c r="W45" s="59">
        <f>(W46+W47+W51+W56+W64+W65+W69+W71+W75+W79+W84)/11</f>
        <v>95.34247145936253</v>
      </c>
      <c r="X45" s="59">
        <f>(X46+X47+X51+X56+X64+X65+X69+X71+X75+X79+X84+X85)/12</f>
        <v>87.4207736574012</v>
      </c>
      <c r="Y45" s="59">
        <f>(Y46+Y47+Y51+Y56+Y64+Y65+Y69+Y71+Y75+Y79+Y84)/11</f>
        <v>81.17731506718387</v>
      </c>
      <c r="Z45" s="59">
        <f>(Z46+Z47+Z51+Z56+Z84+Z85)/6</f>
        <v>82.17548743284833</v>
      </c>
      <c r="AA45" s="5">
        <f>(P45+Q45+V45+W45+R45+S45+T45+U45+X45+Y45)/10</f>
        <v>82.21967253050798</v>
      </c>
    </row>
    <row r="46" spans="1:26" s="3" customFormat="1" ht="255.75" customHeight="1">
      <c r="A46" s="24" t="s">
        <v>209</v>
      </c>
      <c r="B46" s="37" t="s">
        <v>135</v>
      </c>
      <c r="C46" s="38" t="s">
        <v>128</v>
      </c>
      <c r="D46" s="37" t="s">
        <v>39</v>
      </c>
      <c r="E46" s="37" t="s">
        <v>21</v>
      </c>
      <c r="F46" s="38" t="s">
        <v>217</v>
      </c>
      <c r="G46" s="38" t="s">
        <v>121</v>
      </c>
      <c r="H46" s="37" t="s">
        <v>136</v>
      </c>
      <c r="I46" s="37" t="s">
        <v>280</v>
      </c>
      <c r="J46" s="38" t="s">
        <v>330</v>
      </c>
      <c r="K46" s="37" t="s">
        <v>371</v>
      </c>
      <c r="L46" s="37" t="s">
        <v>281</v>
      </c>
      <c r="M46" s="38" t="s">
        <v>217</v>
      </c>
      <c r="N46" s="38" t="s">
        <v>114</v>
      </c>
      <c r="O46" s="37" t="s">
        <v>282</v>
      </c>
      <c r="P46" s="82">
        <v>100</v>
      </c>
      <c r="Q46" s="82">
        <v>100</v>
      </c>
      <c r="R46" s="82">
        <v>100</v>
      </c>
      <c r="S46" s="82">
        <v>100</v>
      </c>
      <c r="T46" s="82">
        <v>100</v>
      </c>
      <c r="U46" s="82">
        <v>100</v>
      </c>
      <c r="V46" s="82">
        <v>100</v>
      </c>
      <c r="W46" s="82">
        <v>100</v>
      </c>
      <c r="X46" s="82">
        <v>100</v>
      </c>
      <c r="Y46" s="82">
        <v>100</v>
      </c>
      <c r="Z46" s="82">
        <v>100</v>
      </c>
    </row>
    <row r="47" spans="1:26" s="6" customFormat="1" ht="275.25" customHeight="1">
      <c r="A47" s="80" t="s">
        <v>210</v>
      </c>
      <c r="B47" s="113" t="s">
        <v>239</v>
      </c>
      <c r="C47" s="46" t="s">
        <v>244</v>
      </c>
      <c r="D47" s="113" t="s">
        <v>89</v>
      </c>
      <c r="E47" s="37" t="s">
        <v>61</v>
      </c>
      <c r="F47" s="38"/>
      <c r="G47" s="38" t="s">
        <v>121</v>
      </c>
      <c r="H47" s="113" t="s">
        <v>187</v>
      </c>
      <c r="I47" s="113" t="s">
        <v>40</v>
      </c>
      <c r="J47" s="46" t="s">
        <v>331</v>
      </c>
      <c r="K47" s="113" t="s">
        <v>303</v>
      </c>
      <c r="L47" s="37" t="s">
        <v>324</v>
      </c>
      <c r="M47" s="38"/>
      <c r="N47" s="38" t="s">
        <v>114</v>
      </c>
      <c r="O47" s="113" t="s">
        <v>187</v>
      </c>
      <c r="P47" s="65">
        <v>100</v>
      </c>
      <c r="Q47" s="63">
        <v>100</v>
      </c>
      <c r="R47" s="114">
        <f>(1-((95-R50)/95))*100</f>
        <v>94.3485407956298</v>
      </c>
      <c r="S47" s="101">
        <v>100</v>
      </c>
      <c r="T47" s="101">
        <v>100</v>
      </c>
      <c r="U47" s="101">
        <v>100</v>
      </c>
      <c r="V47" s="65">
        <v>100</v>
      </c>
      <c r="W47" s="65">
        <v>100</v>
      </c>
      <c r="X47" s="65">
        <v>100</v>
      </c>
      <c r="Y47" s="65">
        <v>100</v>
      </c>
      <c r="Z47" s="101">
        <f>(1-((95-Z50)/95))*100</f>
        <v>5.191640399438446</v>
      </c>
    </row>
    <row r="48" spans="1:26" s="6" customFormat="1" ht="27" customHeight="1">
      <c r="A48" s="80"/>
      <c r="B48" s="113"/>
      <c r="C48" s="46"/>
      <c r="D48" s="113"/>
      <c r="E48" s="67" t="s">
        <v>24</v>
      </c>
      <c r="F48" s="38">
        <v>100</v>
      </c>
      <c r="G48" s="46" t="s">
        <v>84</v>
      </c>
      <c r="H48" s="113"/>
      <c r="I48" s="113"/>
      <c r="J48" s="46"/>
      <c r="K48" s="113"/>
      <c r="L48" s="37" t="s">
        <v>24</v>
      </c>
      <c r="M48" s="38">
        <v>100</v>
      </c>
      <c r="N48" s="46" t="s">
        <v>84</v>
      </c>
      <c r="O48" s="113"/>
      <c r="P48" s="72"/>
      <c r="Q48" s="70"/>
      <c r="R48" s="115"/>
      <c r="S48" s="116"/>
      <c r="T48" s="116"/>
      <c r="U48" s="116"/>
      <c r="V48" s="72"/>
      <c r="W48" s="72"/>
      <c r="X48" s="72"/>
      <c r="Y48" s="72"/>
      <c r="Z48" s="116"/>
    </row>
    <row r="49" spans="1:26" s="6" customFormat="1" ht="42" customHeight="1">
      <c r="A49" s="80"/>
      <c r="B49" s="113"/>
      <c r="C49" s="46"/>
      <c r="D49" s="113"/>
      <c r="E49" s="67" t="s">
        <v>25</v>
      </c>
      <c r="F49" s="38" t="s">
        <v>67</v>
      </c>
      <c r="G49" s="46"/>
      <c r="H49" s="113"/>
      <c r="I49" s="113"/>
      <c r="J49" s="46"/>
      <c r="K49" s="113"/>
      <c r="L49" s="37" t="s">
        <v>25</v>
      </c>
      <c r="M49" s="37" t="s">
        <v>263</v>
      </c>
      <c r="N49" s="46"/>
      <c r="O49" s="113"/>
      <c r="P49" s="78"/>
      <c r="Q49" s="76"/>
      <c r="R49" s="117"/>
      <c r="S49" s="103"/>
      <c r="T49" s="103"/>
      <c r="U49" s="103"/>
      <c r="V49" s="78"/>
      <c r="W49" s="78"/>
      <c r="X49" s="78"/>
      <c r="Y49" s="78"/>
      <c r="Z49" s="103"/>
    </row>
    <row r="50" spans="1:26" s="6" customFormat="1" ht="42" customHeight="1">
      <c r="A50" s="24"/>
      <c r="B50" s="67"/>
      <c r="C50" s="38"/>
      <c r="D50" s="67"/>
      <c r="E50" s="67"/>
      <c r="F50" s="38"/>
      <c r="G50" s="38"/>
      <c r="H50" s="67"/>
      <c r="I50" s="67"/>
      <c r="J50" s="38"/>
      <c r="K50" s="67"/>
      <c r="L50" s="37"/>
      <c r="M50" s="37"/>
      <c r="N50" s="38"/>
      <c r="O50" s="67"/>
      <c r="P50" s="118">
        <f>100*(21505/(21554.8))</f>
        <v>99.7689609738898</v>
      </c>
      <c r="Q50" s="118">
        <f>100*(138/138)</f>
        <v>100</v>
      </c>
      <c r="R50" s="118">
        <f>100*(328360/366346)</f>
        <v>89.6311137558483</v>
      </c>
      <c r="S50" s="118">
        <f>100*(95364/96158)</f>
        <v>99.174275671291</v>
      </c>
      <c r="T50" s="118">
        <f>100*(73034/73610)</f>
        <v>99.21749762260562</v>
      </c>
      <c r="U50" s="118">
        <f>100*(192295/192393)</f>
        <v>99.94906259583249</v>
      </c>
      <c r="V50" s="118">
        <f>100*(313728/315150)</f>
        <v>99.54878629224179</v>
      </c>
      <c r="W50" s="118">
        <f>100*(125512/125822)</f>
        <v>99.75362019360684</v>
      </c>
      <c r="X50" s="118">
        <f>100*(414576/418249)</f>
        <v>99.12181499537357</v>
      </c>
      <c r="Y50" s="118">
        <f>100*(166130/166462)</f>
        <v>99.80055508164025</v>
      </c>
      <c r="Z50" s="119">
        <f>100*(19.6/(397.4-0))</f>
        <v>4.9320583794665325</v>
      </c>
    </row>
    <row r="51" spans="1:26" s="6" customFormat="1" ht="340.5" customHeight="1">
      <c r="A51" s="80" t="s">
        <v>211</v>
      </c>
      <c r="B51" s="45" t="s">
        <v>224</v>
      </c>
      <c r="C51" s="46" t="s">
        <v>137</v>
      </c>
      <c r="D51" s="45" t="s">
        <v>139</v>
      </c>
      <c r="E51" s="37" t="s">
        <v>22</v>
      </c>
      <c r="F51" s="38"/>
      <c r="G51" s="46" t="s">
        <v>114</v>
      </c>
      <c r="H51" s="45" t="s">
        <v>75</v>
      </c>
      <c r="I51" s="45" t="s">
        <v>224</v>
      </c>
      <c r="J51" s="46" t="s">
        <v>320</v>
      </c>
      <c r="K51" s="45" t="s">
        <v>287</v>
      </c>
      <c r="L51" s="37" t="s">
        <v>323</v>
      </c>
      <c r="M51" s="38"/>
      <c r="N51" s="46" t="s">
        <v>114</v>
      </c>
      <c r="O51" s="45" t="s">
        <v>265</v>
      </c>
      <c r="P51" s="65">
        <v>100</v>
      </c>
      <c r="Q51" s="63" t="s">
        <v>200</v>
      </c>
      <c r="R51" s="101">
        <v>100</v>
      </c>
      <c r="S51" s="101">
        <v>0</v>
      </c>
      <c r="T51" s="65">
        <v>100</v>
      </c>
      <c r="U51" s="101">
        <f>100-(U55-48)</f>
        <v>88.84049665711557</v>
      </c>
      <c r="V51" s="65">
        <v>100</v>
      </c>
      <c r="W51" s="65">
        <v>100</v>
      </c>
      <c r="X51" s="101">
        <v>100</v>
      </c>
      <c r="Y51" s="65">
        <v>100</v>
      </c>
      <c r="Z51" s="65">
        <v>100</v>
      </c>
    </row>
    <row r="52" spans="1:26" s="6" customFormat="1" ht="27.75" customHeight="1">
      <c r="A52" s="80"/>
      <c r="B52" s="45"/>
      <c r="C52" s="46"/>
      <c r="D52" s="45"/>
      <c r="E52" s="37" t="s">
        <v>26</v>
      </c>
      <c r="F52" s="38">
        <v>100</v>
      </c>
      <c r="G52" s="46"/>
      <c r="H52" s="45"/>
      <c r="I52" s="45"/>
      <c r="J52" s="46"/>
      <c r="K52" s="45"/>
      <c r="L52" s="37" t="s">
        <v>26</v>
      </c>
      <c r="M52" s="38">
        <v>100</v>
      </c>
      <c r="N52" s="46"/>
      <c r="O52" s="45"/>
      <c r="P52" s="72"/>
      <c r="Q52" s="70"/>
      <c r="R52" s="72"/>
      <c r="S52" s="72"/>
      <c r="T52" s="72"/>
      <c r="U52" s="72"/>
      <c r="V52" s="72"/>
      <c r="W52" s="72"/>
      <c r="X52" s="72"/>
      <c r="Y52" s="72"/>
      <c r="Z52" s="72"/>
    </row>
    <row r="53" spans="1:26" s="6" customFormat="1" ht="27.75" customHeight="1">
      <c r="A53" s="80"/>
      <c r="B53" s="45"/>
      <c r="C53" s="46"/>
      <c r="D53" s="45"/>
      <c r="E53" s="37" t="s">
        <v>27</v>
      </c>
      <c r="F53" s="38" t="s">
        <v>68</v>
      </c>
      <c r="G53" s="46"/>
      <c r="H53" s="45"/>
      <c r="I53" s="45"/>
      <c r="J53" s="46"/>
      <c r="K53" s="45"/>
      <c r="L53" s="37" t="s">
        <v>27</v>
      </c>
      <c r="M53" s="38" t="s">
        <v>68</v>
      </c>
      <c r="N53" s="46"/>
      <c r="O53" s="45"/>
      <c r="P53" s="72"/>
      <c r="Q53" s="70"/>
      <c r="R53" s="72"/>
      <c r="S53" s="72"/>
      <c r="T53" s="72"/>
      <c r="U53" s="72"/>
      <c r="V53" s="72"/>
      <c r="W53" s="72"/>
      <c r="X53" s="72"/>
      <c r="Y53" s="72"/>
      <c r="Z53" s="72"/>
    </row>
    <row r="54" spans="1:26" s="6" customFormat="1" ht="27.75" customHeight="1">
      <c r="A54" s="80"/>
      <c r="B54" s="45"/>
      <c r="C54" s="46"/>
      <c r="D54" s="45"/>
      <c r="E54" s="37" t="s">
        <v>28</v>
      </c>
      <c r="F54" s="38">
        <v>0</v>
      </c>
      <c r="G54" s="46"/>
      <c r="H54" s="45"/>
      <c r="I54" s="45"/>
      <c r="J54" s="46"/>
      <c r="K54" s="45"/>
      <c r="L54" s="37" t="s">
        <v>28</v>
      </c>
      <c r="M54" s="38">
        <v>0</v>
      </c>
      <c r="N54" s="46"/>
      <c r="O54" s="45"/>
      <c r="P54" s="78"/>
      <c r="Q54" s="76"/>
      <c r="R54" s="78"/>
      <c r="S54" s="78"/>
      <c r="T54" s="78"/>
      <c r="U54" s="78"/>
      <c r="V54" s="78"/>
      <c r="W54" s="78"/>
      <c r="X54" s="78"/>
      <c r="Y54" s="78"/>
      <c r="Z54" s="78"/>
    </row>
    <row r="55" spans="1:27" s="6" customFormat="1" ht="27.75" customHeight="1">
      <c r="A55" s="24"/>
      <c r="B55" s="37"/>
      <c r="C55" s="38"/>
      <c r="D55" s="37"/>
      <c r="E55" s="37"/>
      <c r="F55" s="38"/>
      <c r="G55" s="38"/>
      <c r="H55" s="37"/>
      <c r="I55" s="37"/>
      <c r="J55" s="38"/>
      <c r="K55" s="37"/>
      <c r="L55" s="37"/>
      <c r="M55" s="38"/>
      <c r="N55" s="38"/>
      <c r="O55" s="37"/>
      <c r="P55" s="118">
        <f>100*(2500-6335)/6335</f>
        <v>-60.53670086819258</v>
      </c>
      <c r="Q55" s="118"/>
      <c r="R55" s="118">
        <f>100*(70165-86065)/86065</f>
        <v>-18.474408877011562</v>
      </c>
      <c r="S55" s="118">
        <f>100*(60239-11708)/11708</f>
        <v>414.51144516569866</v>
      </c>
      <c r="T55" s="118">
        <f>100*(21025-17336)/17336</f>
        <v>21.279418550992155</v>
      </c>
      <c r="U55" s="118">
        <f>100*(66656-41880)/41880</f>
        <v>59.159503342884435</v>
      </c>
      <c r="V55" s="118">
        <f>100*(85343-76128)/76128</f>
        <v>12.104613282891972</v>
      </c>
      <c r="W55" s="118">
        <f>100*(31802-31237)/31237</f>
        <v>1.8087524410154625</v>
      </c>
      <c r="X55" s="118">
        <f>100*(126622-95985)/95985</f>
        <v>31.918528936813043</v>
      </c>
      <c r="Y55" s="118">
        <f>100*(41444-41562)/41562</f>
        <v>-0.283913189933112</v>
      </c>
      <c r="Z55" s="118">
        <f>100*(0-6.5)/6.5</f>
        <v>-100</v>
      </c>
      <c r="AA55" s="12"/>
    </row>
    <row r="56" spans="1:26" s="3" customFormat="1" ht="168.75" customHeight="1">
      <c r="A56" s="80" t="s">
        <v>212</v>
      </c>
      <c r="B56" s="45" t="s">
        <v>41</v>
      </c>
      <c r="C56" s="46" t="s">
        <v>138</v>
      </c>
      <c r="D56" s="45" t="s">
        <v>153</v>
      </c>
      <c r="E56" s="37" t="s">
        <v>2</v>
      </c>
      <c r="F56" s="38"/>
      <c r="G56" s="46" t="s">
        <v>121</v>
      </c>
      <c r="H56" s="45" t="s">
        <v>188</v>
      </c>
      <c r="I56" s="45" t="s">
        <v>41</v>
      </c>
      <c r="J56" s="46" t="s">
        <v>332</v>
      </c>
      <c r="K56" s="45" t="s">
        <v>304</v>
      </c>
      <c r="L56" s="37" t="s">
        <v>2</v>
      </c>
      <c r="M56" s="38"/>
      <c r="N56" s="46" t="s">
        <v>114</v>
      </c>
      <c r="O56" s="45" t="s">
        <v>188</v>
      </c>
      <c r="P56" s="120" t="s">
        <v>200</v>
      </c>
      <c r="Q56" s="63" t="s">
        <v>200</v>
      </c>
      <c r="R56" s="65">
        <v>70</v>
      </c>
      <c r="S56" s="65">
        <v>100</v>
      </c>
      <c r="T56" s="121">
        <v>0</v>
      </c>
      <c r="U56" s="65">
        <v>100</v>
      </c>
      <c r="V56" s="122">
        <v>70</v>
      </c>
      <c r="W56" s="63">
        <v>100</v>
      </c>
      <c r="X56" s="65">
        <v>100</v>
      </c>
      <c r="Y56" s="65">
        <v>0</v>
      </c>
      <c r="Z56" s="65">
        <v>100</v>
      </c>
    </row>
    <row r="57" spans="1:26" s="3" customFormat="1" ht="22.5" customHeight="1">
      <c r="A57" s="80"/>
      <c r="B57" s="45"/>
      <c r="C57" s="46"/>
      <c r="D57" s="45"/>
      <c r="E57" s="123" t="s">
        <v>29</v>
      </c>
      <c r="F57" s="38">
        <v>100</v>
      </c>
      <c r="G57" s="46"/>
      <c r="H57" s="45"/>
      <c r="I57" s="45"/>
      <c r="J57" s="46"/>
      <c r="K57" s="45"/>
      <c r="L57" s="123" t="s">
        <v>29</v>
      </c>
      <c r="M57" s="38">
        <v>100</v>
      </c>
      <c r="N57" s="46"/>
      <c r="O57" s="45"/>
      <c r="P57" s="70"/>
      <c r="Q57" s="70"/>
      <c r="R57" s="72"/>
      <c r="S57" s="72"/>
      <c r="T57" s="124"/>
      <c r="U57" s="72"/>
      <c r="V57" s="125"/>
      <c r="W57" s="70"/>
      <c r="X57" s="72"/>
      <c r="Y57" s="72"/>
      <c r="Z57" s="72"/>
    </row>
    <row r="58" spans="1:26" s="3" customFormat="1" ht="22.5" customHeight="1">
      <c r="A58" s="80"/>
      <c r="B58" s="45"/>
      <c r="C58" s="46"/>
      <c r="D58" s="45"/>
      <c r="E58" s="123" t="s">
        <v>30</v>
      </c>
      <c r="F58" s="38">
        <v>70</v>
      </c>
      <c r="G58" s="46"/>
      <c r="H58" s="45"/>
      <c r="I58" s="45"/>
      <c r="J58" s="46"/>
      <c r="K58" s="45"/>
      <c r="L58" s="123" t="s">
        <v>30</v>
      </c>
      <c r="M58" s="38">
        <v>70</v>
      </c>
      <c r="N58" s="46"/>
      <c r="O58" s="45"/>
      <c r="P58" s="70"/>
      <c r="Q58" s="70"/>
      <c r="R58" s="72"/>
      <c r="S58" s="72"/>
      <c r="T58" s="124"/>
      <c r="U58" s="72"/>
      <c r="V58" s="125"/>
      <c r="W58" s="70"/>
      <c r="X58" s="72"/>
      <c r="Y58" s="72"/>
      <c r="Z58" s="72"/>
    </row>
    <row r="59" spans="1:26" s="3" customFormat="1" ht="22.5" customHeight="1">
      <c r="A59" s="80"/>
      <c r="B59" s="45"/>
      <c r="C59" s="46"/>
      <c r="D59" s="45"/>
      <c r="E59" s="123" t="s">
        <v>31</v>
      </c>
      <c r="F59" s="38">
        <v>70</v>
      </c>
      <c r="G59" s="46"/>
      <c r="H59" s="45"/>
      <c r="I59" s="45"/>
      <c r="J59" s="46"/>
      <c r="K59" s="45"/>
      <c r="L59" s="123" t="s">
        <v>31</v>
      </c>
      <c r="M59" s="38">
        <v>70</v>
      </c>
      <c r="N59" s="46"/>
      <c r="O59" s="45"/>
      <c r="P59" s="70"/>
      <c r="Q59" s="70"/>
      <c r="R59" s="72"/>
      <c r="S59" s="72"/>
      <c r="T59" s="124"/>
      <c r="U59" s="72"/>
      <c r="V59" s="125"/>
      <c r="W59" s="70"/>
      <c r="X59" s="72"/>
      <c r="Y59" s="72"/>
      <c r="Z59" s="72"/>
    </row>
    <row r="60" spans="1:26" s="3" customFormat="1" ht="22.5" customHeight="1">
      <c r="A60" s="80"/>
      <c r="B60" s="45"/>
      <c r="C60" s="46"/>
      <c r="D60" s="45"/>
      <c r="E60" s="67" t="s">
        <v>32</v>
      </c>
      <c r="F60" s="38">
        <v>0</v>
      </c>
      <c r="G60" s="46"/>
      <c r="H60" s="45"/>
      <c r="I60" s="45"/>
      <c r="J60" s="46"/>
      <c r="K60" s="45"/>
      <c r="L60" s="67" t="s">
        <v>32</v>
      </c>
      <c r="M60" s="38">
        <v>0</v>
      </c>
      <c r="N60" s="46"/>
      <c r="O60" s="45"/>
      <c r="P60" s="70"/>
      <c r="Q60" s="70"/>
      <c r="R60" s="72"/>
      <c r="S60" s="72"/>
      <c r="T60" s="124"/>
      <c r="U60" s="72"/>
      <c r="V60" s="125"/>
      <c r="W60" s="70"/>
      <c r="X60" s="72"/>
      <c r="Y60" s="72"/>
      <c r="Z60" s="72"/>
    </row>
    <row r="61" spans="1:26" s="3" customFormat="1" ht="22.5" customHeight="1">
      <c r="A61" s="80"/>
      <c r="B61" s="45"/>
      <c r="C61" s="46"/>
      <c r="D61" s="45"/>
      <c r="E61" s="126" t="s">
        <v>174</v>
      </c>
      <c r="F61" s="38">
        <v>0</v>
      </c>
      <c r="G61" s="46"/>
      <c r="H61" s="45"/>
      <c r="I61" s="45"/>
      <c r="J61" s="46"/>
      <c r="K61" s="45"/>
      <c r="L61" s="126" t="s">
        <v>174</v>
      </c>
      <c r="M61" s="38">
        <v>0</v>
      </c>
      <c r="N61" s="46"/>
      <c r="O61" s="45"/>
      <c r="P61" s="70"/>
      <c r="Q61" s="70"/>
      <c r="R61" s="72"/>
      <c r="S61" s="72"/>
      <c r="T61" s="124"/>
      <c r="U61" s="72"/>
      <c r="V61" s="125"/>
      <c r="W61" s="70"/>
      <c r="X61" s="72"/>
      <c r="Y61" s="72"/>
      <c r="Z61" s="72"/>
    </row>
    <row r="62" spans="1:26" s="3" customFormat="1" ht="32.25" customHeight="1">
      <c r="A62" s="80"/>
      <c r="B62" s="45"/>
      <c r="C62" s="46"/>
      <c r="D62" s="45"/>
      <c r="E62" s="126" t="s">
        <v>173</v>
      </c>
      <c r="F62" s="38" t="s">
        <v>200</v>
      </c>
      <c r="G62" s="46"/>
      <c r="H62" s="45"/>
      <c r="I62" s="45"/>
      <c r="J62" s="46"/>
      <c r="K62" s="45"/>
      <c r="L62" s="126" t="s">
        <v>173</v>
      </c>
      <c r="M62" s="38" t="s">
        <v>200</v>
      </c>
      <c r="N62" s="46"/>
      <c r="O62" s="45"/>
      <c r="P62" s="76"/>
      <c r="Q62" s="76"/>
      <c r="R62" s="78"/>
      <c r="S62" s="78"/>
      <c r="T62" s="127"/>
      <c r="U62" s="78"/>
      <c r="V62" s="128"/>
      <c r="W62" s="76"/>
      <c r="X62" s="78"/>
      <c r="Y62" s="78"/>
      <c r="Z62" s="78"/>
    </row>
    <row r="63" spans="1:26" s="3" customFormat="1" ht="32.25" customHeight="1">
      <c r="A63" s="24"/>
      <c r="B63" s="37"/>
      <c r="C63" s="38"/>
      <c r="D63" s="37"/>
      <c r="E63" s="126"/>
      <c r="F63" s="38"/>
      <c r="G63" s="38"/>
      <c r="H63" s="37"/>
      <c r="I63" s="37"/>
      <c r="J63" s="38"/>
      <c r="K63" s="37"/>
      <c r="L63" s="126"/>
      <c r="M63" s="38"/>
      <c r="N63" s="38"/>
      <c r="O63" s="37"/>
      <c r="P63" s="129"/>
      <c r="Q63" s="130"/>
      <c r="R63" s="131">
        <f>100*6639372/7583344</f>
        <v>87.55203509164295</v>
      </c>
      <c r="S63" s="131">
        <f>100*6365812428/6325655508</f>
        <v>100.63482622392594</v>
      </c>
      <c r="T63" s="132">
        <f>100*971879/708758</f>
        <v>137.12423704564887</v>
      </c>
      <c r="U63" s="131">
        <f>100*60070442/60068316</f>
        <v>100.00353930348238</v>
      </c>
      <c r="V63" s="131">
        <f>100*101078947/89780894</f>
        <v>112.58402817864567</v>
      </c>
      <c r="W63" s="130">
        <f>100*595025/595025</f>
        <v>100</v>
      </c>
      <c r="X63" s="131">
        <f>100*29863662/29509764</f>
        <v>101.19925730344708</v>
      </c>
      <c r="Y63" s="131">
        <f>100*65048/47946</f>
        <v>135.66929462311768</v>
      </c>
      <c r="Z63" s="129"/>
    </row>
    <row r="64" spans="1:26" s="3" customFormat="1" ht="222" customHeight="1">
      <c r="A64" s="24" t="s">
        <v>213</v>
      </c>
      <c r="B64" s="37" t="s">
        <v>6</v>
      </c>
      <c r="C64" s="38" t="s">
        <v>245</v>
      </c>
      <c r="D64" s="37" t="s">
        <v>103</v>
      </c>
      <c r="E64" s="37" t="s">
        <v>51</v>
      </c>
      <c r="F64" s="38" t="s">
        <v>217</v>
      </c>
      <c r="G64" s="38" t="s">
        <v>114</v>
      </c>
      <c r="H64" s="37" t="s">
        <v>149</v>
      </c>
      <c r="I64" s="37" t="s">
        <v>314</v>
      </c>
      <c r="J64" s="38" t="s">
        <v>333</v>
      </c>
      <c r="K64" s="37" t="s">
        <v>301</v>
      </c>
      <c r="L64" s="37" t="s">
        <v>315</v>
      </c>
      <c r="M64" s="38" t="s">
        <v>217</v>
      </c>
      <c r="N64" s="38" t="s">
        <v>114</v>
      </c>
      <c r="O64" s="37" t="s">
        <v>149</v>
      </c>
      <c r="P64" s="108">
        <f>100*(4/8)</f>
        <v>50</v>
      </c>
      <c r="Q64" s="108">
        <f>100*(92/107)</f>
        <v>85.98130841121495</v>
      </c>
      <c r="R64" s="108">
        <f>100*(70/97)</f>
        <v>72.16494845360825</v>
      </c>
      <c r="S64" s="108">
        <f>100*(325/365)</f>
        <v>89.04109589041096</v>
      </c>
      <c r="T64" s="108">
        <f>100*(173/198)</f>
        <v>87.37373737373737</v>
      </c>
      <c r="U64" s="108">
        <f>100*(397/433)</f>
        <v>91.68591224018475</v>
      </c>
      <c r="V64" s="108">
        <f>100*(849/1182)</f>
        <v>71.8274111675127</v>
      </c>
      <c r="W64" s="108">
        <f>100*(161/216)</f>
        <v>74.53703703703704</v>
      </c>
      <c r="X64" s="108">
        <f>100*(4118/5167)</f>
        <v>79.698083994581</v>
      </c>
      <c r="Y64" s="108">
        <f>100*(314/526)</f>
        <v>59.6958174904943</v>
      </c>
      <c r="Z64" s="133" t="s">
        <v>389</v>
      </c>
    </row>
    <row r="65" spans="1:26" s="3" customFormat="1" ht="137.25" customHeight="1">
      <c r="A65" s="80" t="s">
        <v>214</v>
      </c>
      <c r="B65" s="45" t="s">
        <v>240</v>
      </c>
      <c r="C65" s="46" t="s">
        <v>140</v>
      </c>
      <c r="D65" s="45" t="s">
        <v>78</v>
      </c>
      <c r="E65" s="45" t="s">
        <v>52</v>
      </c>
      <c r="F65" s="46" t="s">
        <v>217</v>
      </c>
      <c r="G65" s="46" t="s">
        <v>114</v>
      </c>
      <c r="H65" s="45" t="s">
        <v>246</v>
      </c>
      <c r="I65" s="45" t="s">
        <v>408</v>
      </c>
      <c r="J65" s="46" t="s">
        <v>313</v>
      </c>
      <c r="K65" s="45" t="s">
        <v>409</v>
      </c>
      <c r="L65" s="37" t="s">
        <v>410</v>
      </c>
      <c r="M65" s="38" t="s">
        <v>217</v>
      </c>
      <c r="N65" s="46" t="s">
        <v>114</v>
      </c>
      <c r="O65" s="45" t="s">
        <v>411</v>
      </c>
      <c r="P65" s="63" t="s">
        <v>200</v>
      </c>
      <c r="Q65" s="63" t="s">
        <v>200</v>
      </c>
      <c r="R65" s="101">
        <f>(1-((95-(100*(16/18)))/95))*100</f>
        <v>93.56725146198829</v>
      </c>
      <c r="S65" s="101">
        <f>(1-((95-(100*(13/32)))/95))*100</f>
        <v>42.76315789473685</v>
      </c>
      <c r="T65" s="63" t="s">
        <v>200</v>
      </c>
      <c r="U65" s="101">
        <f>(1-((95-(100*(24/31)))/95))*100</f>
        <v>81.49405772495756</v>
      </c>
      <c r="V65" s="101">
        <f>(1-((95-(100*(82/127)))/95))*100</f>
        <v>67.96518856195607</v>
      </c>
      <c r="W65" s="101">
        <f>(1-((95-(100*(7/9)))/95))*100</f>
        <v>81.87134502923978</v>
      </c>
      <c r="X65" s="101">
        <f>(1-((95-(100*(34/41)))/95))*100</f>
        <v>87.29139922978176</v>
      </c>
      <c r="Y65" s="101">
        <f>(1-((95-(100*(26/30)))/95))*100</f>
        <v>91.2280701754386</v>
      </c>
      <c r="Z65" s="105" t="s">
        <v>200</v>
      </c>
    </row>
    <row r="66" spans="1:26" s="3" customFormat="1" ht="27" customHeight="1">
      <c r="A66" s="80"/>
      <c r="B66" s="45"/>
      <c r="C66" s="46"/>
      <c r="D66" s="45"/>
      <c r="E66" s="45"/>
      <c r="F66" s="46"/>
      <c r="G66" s="46"/>
      <c r="H66" s="45"/>
      <c r="I66" s="45"/>
      <c r="J66" s="46"/>
      <c r="K66" s="45"/>
      <c r="L66" s="67" t="s">
        <v>42</v>
      </c>
      <c r="M66" s="38">
        <v>100</v>
      </c>
      <c r="N66" s="46"/>
      <c r="O66" s="45"/>
      <c r="P66" s="70"/>
      <c r="Q66" s="70"/>
      <c r="R66" s="116"/>
      <c r="S66" s="116"/>
      <c r="T66" s="70"/>
      <c r="U66" s="116"/>
      <c r="V66" s="116"/>
      <c r="W66" s="116"/>
      <c r="X66" s="116"/>
      <c r="Y66" s="116"/>
      <c r="Z66" s="134"/>
    </row>
    <row r="67" spans="1:26" s="3" customFormat="1" ht="42" customHeight="1">
      <c r="A67" s="80"/>
      <c r="B67" s="45"/>
      <c r="C67" s="46"/>
      <c r="D67" s="45"/>
      <c r="E67" s="45"/>
      <c r="F67" s="46"/>
      <c r="G67" s="46"/>
      <c r="H67" s="45"/>
      <c r="I67" s="45"/>
      <c r="J67" s="46"/>
      <c r="K67" s="45"/>
      <c r="L67" s="67" t="s">
        <v>43</v>
      </c>
      <c r="M67" s="38" t="s">
        <v>44</v>
      </c>
      <c r="N67" s="46"/>
      <c r="O67" s="45"/>
      <c r="P67" s="70"/>
      <c r="Q67" s="70"/>
      <c r="R67" s="116"/>
      <c r="S67" s="116"/>
      <c r="T67" s="70"/>
      <c r="U67" s="116"/>
      <c r="V67" s="116"/>
      <c r="W67" s="116"/>
      <c r="X67" s="116"/>
      <c r="Y67" s="116"/>
      <c r="Z67" s="134"/>
    </row>
    <row r="68" spans="1:26" s="3" customFormat="1" ht="59.25" customHeight="1">
      <c r="A68" s="135"/>
      <c r="B68" s="45"/>
      <c r="C68" s="46"/>
      <c r="D68" s="45"/>
      <c r="E68" s="37" t="s">
        <v>241</v>
      </c>
      <c r="F68" s="38" t="s">
        <v>200</v>
      </c>
      <c r="G68" s="46"/>
      <c r="H68" s="45"/>
      <c r="I68" s="45"/>
      <c r="J68" s="46"/>
      <c r="K68" s="45"/>
      <c r="L68" s="37" t="s">
        <v>412</v>
      </c>
      <c r="M68" s="38" t="s">
        <v>200</v>
      </c>
      <c r="N68" s="46"/>
      <c r="O68" s="45"/>
      <c r="P68" s="76"/>
      <c r="Q68" s="76"/>
      <c r="R68" s="103"/>
      <c r="S68" s="103"/>
      <c r="T68" s="76"/>
      <c r="U68" s="103"/>
      <c r="V68" s="103"/>
      <c r="W68" s="103"/>
      <c r="X68" s="103"/>
      <c r="Y68" s="103"/>
      <c r="Z68" s="106"/>
    </row>
    <row r="69" spans="1:26" s="3" customFormat="1" ht="160.5" customHeight="1">
      <c r="A69" s="107" t="s">
        <v>312</v>
      </c>
      <c r="B69" s="113" t="s">
        <v>175</v>
      </c>
      <c r="C69" s="46" t="s">
        <v>176</v>
      </c>
      <c r="D69" s="113" t="s">
        <v>100</v>
      </c>
      <c r="E69" s="67" t="s">
        <v>101</v>
      </c>
      <c r="F69" s="38" t="s">
        <v>217</v>
      </c>
      <c r="G69" s="46" t="s">
        <v>114</v>
      </c>
      <c r="H69" s="113" t="s">
        <v>102</v>
      </c>
      <c r="I69" s="113" t="s">
        <v>175</v>
      </c>
      <c r="J69" s="46" t="s">
        <v>321</v>
      </c>
      <c r="K69" s="113" t="s">
        <v>100</v>
      </c>
      <c r="L69" s="67" t="s">
        <v>372</v>
      </c>
      <c r="M69" s="38"/>
      <c r="N69" s="46" t="s">
        <v>114</v>
      </c>
      <c r="O69" s="113" t="s">
        <v>102</v>
      </c>
      <c r="P69" s="63" t="s">
        <v>200</v>
      </c>
      <c r="Q69" s="63" t="s">
        <v>200</v>
      </c>
      <c r="R69" s="63" t="s">
        <v>200</v>
      </c>
      <c r="S69" s="63" t="s">
        <v>200</v>
      </c>
      <c r="T69" s="63" t="s">
        <v>200</v>
      </c>
      <c r="U69" s="63" t="s">
        <v>200</v>
      </c>
      <c r="V69" s="63">
        <v>100</v>
      </c>
      <c r="W69" s="120">
        <v>100</v>
      </c>
      <c r="X69" s="65">
        <v>100</v>
      </c>
      <c r="Y69" s="65">
        <v>100</v>
      </c>
      <c r="Z69" s="63" t="s">
        <v>200</v>
      </c>
    </row>
    <row r="70" spans="1:26" s="3" customFormat="1" ht="36" customHeight="1">
      <c r="A70" s="135"/>
      <c r="B70" s="113"/>
      <c r="C70" s="46"/>
      <c r="D70" s="113"/>
      <c r="E70" s="67" t="s">
        <v>264</v>
      </c>
      <c r="F70" s="38" t="s">
        <v>200</v>
      </c>
      <c r="G70" s="46"/>
      <c r="H70" s="113"/>
      <c r="I70" s="113"/>
      <c r="J70" s="46"/>
      <c r="K70" s="113"/>
      <c r="L70" s="67" t="s">
        <v>264</v>
      </c>
      <c r="M70" s="38" t="s">
        <v>200</v>
      </c>
      <c r="N70" s="46"/>
      <c r="O70" s="113"/>
      <c r="P70" s="136"/>
      <c r="Q70" s="76"/>
      <c r="R70" s="76"/>
      <c r="S70" s="76"/>
      <c r="T70" s="76"/>
      <c r="U70" s="76"/>
      <c r="V70" s="76"/>
      <c r="W70" s="76"/>
      <c r="X70" s="78"/>
      <c r="Y70" s="78"/>
      <c r="Z70" s="76"/>
    </row>
    <row r="71" spans="1:26" s="3" customFormat="1" ht="141" customHeight="1">
      <c r="A71" s="107" t="s">
        <v>215</v>
      </c>
      <c r="B71" s="45" t="s">
        <v>144</v>
      </c>
      <c r="C71" s="46" t="s">
        <v>142</v>
      </c>
      <c r="D71" s="45" t="s">
        <v>154</v>
      </c>
      <c r="E71" s="37" t="s">
        <v>53</v>
      </c>
      <c r="F71" s="38"/>
      <c r="G71" s="46" t="s">
        <v>87</v>
      </c>
      <c r="H71" s="45" t="s">
        <v>189</v>
      </c>
      <c r="I71" s="45" t="s">
        <v>144</v>
      </c>
      <c r="J71" s="46" t="s">
        <v>143</v>
      </c>
      <c r="K71" s="45" t="s">
        <v>154</v>
      </c>
      <c r="L71" s="37" t="s">
        <v>53</v>
      </c>
      <c r="M71" s="38"/>
      <c r="N71" s="46" t="s">
        <v>87</v>
      </c>
      <c r="O71" s="45" t="s">
        <v>189</v>
      </c>
      <c r="P71" s="137" t="s">
        <v>200</v>
      </c>
      <c r="Q71" s="138" t="s">
        <v>200</v>
      </c>
      <c r="R71" s="65">
        <v>100</v>
      </c>
      <c r="S71" s="65">
        <v>0</v>
      </c>
      <c r="T71" s="65">
        <v>0</v>
      </c>
      <c r="U71" s="65">
        <v>0</v>
      </c>
      <c r="V71" s="65">
        <v>0</v>
      </c>
      <c r="W71" s="65">
        <v>100</v>
      </c>
      <c r="X71" s="65">
        <v>50</v>
      </c>
      <c r="Y71" s="65">
        <v>100</v>
      </c>
      <c r="Z71" s="112" t="s">
        <v>200</v>
      </c>
    </row>
    <row r="72" spans="1:26" s="3" customFormat="1" ht="25.5" customHeight="1">
      <c r="A72" s="80"/>
      <c r="B72" s="45"/>
      <c r="C72" s="46"/>
      <c r="D72" s="45"/>
      <c r="E72" s="37" t="s">
        <v>70</v>
      </c>
      <c r="F72" s="38">
        <v>100</v>
      </c>
      <c r="G72" s="46"/>
      <c r="H72" s="45"/>
      <c r="I72" s="45"/>
      <c r="J72" s="46"/>
      <c r="K72" s="45"/>
      <c r="L72" s="37" t="s">
        <v>70</v>
      </c>
      <c r="M72" s="38">
        <v>100</v>
      </c>
      <c r="N72" s="46"/>
      <c r="O72" s="45"/>
      <c r="P72" s="139"/>
      <c r="Q72" s="140"/>
      <c r="R72" s="72"/>
      <c r="S72" s="72"/>
      <c r="T72" s="72"/>
      <c r="U72" s="72"/>
      <c r="V72" s="72"/>
      <c r="W72" s="72"/>
      <c r="X72" s="72"/>
      <c r="Y72" s="72"/>
      <c r="Z72" s="72"/>
    </row>
    <row r="73" spans="1:26" s="3" customFormat="1" ht="25.5" customHeight="1">
      <c r="A73" s="80"/>
      <c r="B73" s="45"/>
      <c r="C73" s="46"/>
      <c r="D73" s="45"/>
      <c r="E73" s="1" t="s">
        <v>69</v>
      </c>
      <c r="F73" s="24">
        <v>50</v>
      </c>
      <c r="G73" s="46"/>
      <c r="H73" s="45"/>
      <c r="I73" s="45"/>
      <c r="J73" s="46"/>
      <c r="K73" s="45"/>
      <c r="L73" s="1" t="s">
        <v>69</v>
      </c>
      <c r="M73" s="24">
        <v>50</v>
      </c>
      <c r="N73" s="46"/>
      <c r="O73" s="45"/>
      <c r="P73" s="139"/>
      <c r="Q73" s="140"/>
      <c r="R73" s="72"/>
      <c r="S73" s="72"/>
      <c r="T73" s="72"/>
      <c r="U73" s="72"/>
      <c r="V73" s="72"/>
      <c r="W73" s="72"/>
      <c r="X73" s="72"/>
      <c r="Y73" s="72"/>
      <c r="Z73" s="72"/>
    </row>
    <row r="74" spans="1:26" s="3" customFormat="1" ht="25.5" customHeight="1">
      <c r="A74" s="80"/>
      <c r="B74" s="45"/>
      <c r="C74" s="46"/>
      <c r="D74" s="45"/>
      <c r="E74" s="1" t="s">
        <v>71</v>
      </c>
      <c r="F74" s="24">
        <v>0</v>
      </c>
      <c r="G74" s="46"/>
      <c r="H74" s="45"/>
      <c r="I74" s="45"/>
      <c r="J74" s="46"/>
      <c r="K74" s="45"/>
      <c r="L74" s="1" t="s">
        <v>71</v>
      </c>
      <c r="M74" s="24">
        <v>0</v>
      </c>
      <c r="N74" s="46"/>
      <c r="O74" s="45"/>
      <c r="P74" s="141"/>
      <c r="Q74" s="142"/>
      <c r="R74" s="78"/>
      <c r="S74" s="78"/>
      <c r="T74" s="78"/>
      <c r="U74" s="78"/>
      <c r="V74" s="78"/>
      <c r="W74" s="78"/>
      <c r="X74" s="78"/>
      <c r="Y74" s="78"/>
      <c r="Z74" s="78"/>
    </row>
    <row r="75" spans="1:26" s="3" customFormat="1" ht="141" customHeight="1">
      <c r="A75" s="107" t="s">
        <v>216</v>
      </c>
      <c r="B75" s="45" t="s">
        <v>253</v>
      </c>
      <c r="C75" s="46" t="s">
        <v>143</v>
      </c>
      <c r="D75" s="45" t="s">
        <v>154</v>
      </c>
      <c r="E75" s="37" t="s">
        <v>54</v>
      </c>
      <c r="F75" s="38"/>
      <c r="G75" s="46" t="s">
        <v>114</v>
      </c>
      <c r="H75" s="45" t="s">
        <v>194</v>
      </c>
      <c r="I75" s="45" t="s">
        <v>253</v>
      </c>
      <c r="J75" s="46" t="s">
        <v>145</v>
      </c>
      <c r="K75" s="45" t="s">
        <v>154</v>
      </c>
      <c r="L75" s="37" t="s">
        <v>54</v>
      </c>
      <c r="M75" s="38"/>
      <c r="N75" s="46" t="s">
        <v>114</v>
      </c>
      <c r="O75" s="45" t="s">
        <v>194</v>
      </c>
      <c r="P75" s="143">
        <v>100</v>
      </c>
      <c r="Q75" s="143">
        <v>100</v>
      </c>
      <c r="R75" s="143">
        <v>100</v>
      </c>
      <c r="S75" s="143">
        <v>100</v>
      </c>
      <c r="T75" s="143">
        <v>0</v>
      </c>
      <c r="U75" s="143">
        <v>0</v>
      </c>
      <c r="V75" s="143">
        <v>100</v>
      </c>
      <c r="W75" s="143">
        <v>100</v>
      </c>
      <c r="X75" s="143">
        <v>100</v>
      </c>
      <c r="Y75" s="143">
        <v>100</v>
      </c>
      <c r="Z75" s="144" t="s">
        <v>200</v>
      </c>
    </row>
    <row r="76" spans="1:26" s="3" customFormat="1" ht="24" customHeight="1">
      <c r="A76" s="80"/>
      <c r="B76" s="45"/>
      <c r="C76" s="46"/>
      <c r="D76" s="45"/>
      <c r="E76" s="1" t="s">
        <v>73</v>
      </c>
      <c r="F76" s="38">
        <v>100</v>
      </c>
      <c r="G76" s="46"/>
      <c r="H76" s="45"/>
      <c r="I76" s="45"/>
      <c r="J76" s="46"/>
      <c r="K76" s="45"/>
      <c r="L76" s="1" t="s">
        <v>73</v>
      </c>
      <c r="M76" s="38">
        <v>100</v>
      </c>
      <c r="N76" s="46"/>
      <c r="O76" s="45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:26" s="3" customFormat="1" ht="24" customHeight="1">
      <c r="A77" s="80"/>
      <c r="B77" s="45"/>
      <c r="C77" s="46"/>
      <c r="D77" s="45"/>
      <c r="E77" s="1" t="s">
        <v>72</v>
      </c>
      <c r="F77" s="38">
        <v>50</v>
      </c>
      <c r="G77" s="46"/>
      <c r="H77" s="45"/>
      <c r="I77" s="45"/>
      <c r="J77" s="46"/>
      <c r="K77" s="45"/>
      <c r="L77" s="1" t="s">
        <v>72</v>
      </c>
      <c r="M77" s="38">
        <v>50</v>
      </c>
      <c r="N77" s="46"/>
      <c r="O77" s="45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:26" s="3" customFormat="1" ht="24" customHeight="1">
      <c r="A78" s="80"/>
      <c r="B78" s="45"/>
      <c r="C78" s="46"/>
      <c r="D78" s="45"/>
      <c r="E78" s="1" t="s">
        <v>74</v>
      </c>
      <c r="F78" s="38">
        <v>0</v>
      </c>
      <c r="G78" s="46"/>
      <c r="H78" s="45"/>
      <c r="I78" s="45"/>
      <c r="J78" s="46"/>
      <c r="K78" s="45"/>
      <c r="L78" s="1" t="s">
        <v>74</v>
      </c>
      <c r="M78" s="38">
        <v>0</v>
      </c>
      <c r="N78" s="46"/>
      <c r="O78" s="45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s="3" customFormat="1" ht="87" customHeight="1">
      <c r="A79" s="80" t="s">
        <v>260</v>
      </c>
      <c r="B79" s="45" t="s">
        <v>146</v>
      </c>
      <c r="C79" s="46" t="s">
        <v>145</v>
      </c>
      <c r="D79" s="45" t="s">
        <v>152</v>
      </c>
      <c r="E79" s="37" t="s">
        <v>55</v>
      </c>
      <c r="F79" s="38"/>
      <c r="G79" s="46" t="s">
        <v>114</v>
      </c>
      <c r="H79" s="45" t="s">
        <v>146</v>
      </c>
      <c r="I79" s="45" t="s">
        <v>146</v>
      </c>
      <c r="J79" s="46" t="s">
        <v>334</v>
      </c>
      <c r="K79" s="45" t="s">
        <v>154</v>
      </c>
      <c r="L79" s="37" t="s">
        <v>55</v>
      </c>
      <c r="M79" s="38"/>
      <c r="N79" s="46" t="s">
        <v>114</v>
      </c>
      <c r="O79" s="45" t="s">
        <v>146</v>
      </c>
      <c r="P79" s="143">
        <v>100</v>
      </c>
      <c r="Q79" s="143">
        <v>30</v>
      </c>
      <c r="R79" s="143">
        <v>100</v>
      </c>
      <c r="S79" s="143">
        <v>50</v>
      </c>
      <c r="T79" s="143">
        <v>50</v>
      </c>
      <c r="U79" s="143">
        <v>100</v>
      </c>
      <c r="V79" s="143">
        <v>100</v>
      </c>
      <c r="W79" s="143">
        <v>100</v>
      </c>
      <c r="X79" s="143">
        <v>50</v>
      </c>
      <c r="Y79" s="143">
        <v>50</v>
      </c>
      <c r="Z79" s="145" t="s">
        <v>200</v>
      </c>
    </row>
    <row r="80" spans="1:26" s="3" customFormat="1" ht="21.75" customHeight="1">
      <c r="A80" s="80"/>
      <c r="B80" s="45"/>
      <c r="C80" s="46"/>
      <c r="D80" s="45"/>
      <c r="E80" s="37" t="s">
        <v>56</v>
      </c>
      <c r="F80" s="38">
        <v>100</v>
      </c>
      <c r="G80" s="46"/>
      <c r="H80" s="45"/>
      <c r="I80" s="45"/>
      <c r="J80" s="46"/>
      <c r="K80" s="45"/>
      <c r="L80" s="37" t="s">
        <v>56</v>
      </c>
      <c r="M80" s="38">
        <v>100</v>
      </c>
      <c r="N80" s="46"/>
      <c r="O80" s="45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s="3" customFormat="1" ht="21.75" customHeight="1">
      <c r="A81" s="80"/>
      <c r="B81" s="45"/>
      <c r="C81" s="46"/>
      <c r="D81" s="45"/>
      <c r="E81" s="37" t="s">
        <v>57</v>
      </c>
      <c r="F81" s="38">
        <v>50</v>
      </c>
      <c r="G81" s="46"/>
      <c r="H81" s="45"/>
      <c r="I81" s="45"/>
      <c r="J81" s="46"/>
      <c r="K81" s="45"/>
      <c r="L81" s="37" t="s">
        <v>57</v>
      </c>
      <c r="M81" s="38">
        <v>50</v>
      </c>
      <c r="N81" s="46"/>
      <c r="O81" s="45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s="3" customFormat="1" ht="21.75" customHeight="1">
      <c r="A82" s="80"/>
      <c r="B82" s="45"/>
      <c r="C82" s="46"/>
      <c r="D82" s="45"/>
      <c r="E82" s="37" t="s">
        <v>58</v>
      </c>
      <c r="F82" s="38">
        <v>30</v>
      </c>
      <c r="G82" s="46"/>
      <c r="H82" s="45"/>
      <c r="I82" s="45"/>
      <c r="J82" s="46"/>
      <c r="K82" s="45"/>
      <c r="L82" s="37" t="s">
        <v>58</v>
      </c>
      <c r="M82" s="38">
        <v>30</v>
      </c>
      <c r="N82" s="46"/>
      <c r="O82" s="45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:26" s="3" customFormat="1" ht="54" customHeight="1">
      <c r="A83" s="80"/>
      <c r="B83" s="45"/>
      <c r="C83" s="46"/>
      <c r="D83" s="45"/>
      <c r="E83" s="37" t="s">
        <v>59</v>
      </c>
      <c r="F83" s="38">
        <v>0</v>
      </c>
      <c r="G83" s="46"/>
      <c r="H83" s="45"/>
      <c r="I83" s="45"/>
      <c r="J83" s="46"/>
      <c r="K83" s="45"/>
      <c r="L83" s="37" t="s">
        <v>59</v>
      </c>
      <c r="M83" s="38">
        <v>0</v>
      </c>
      <c r="N83" s="46"/>
      <c r="O83" s="45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s="3" customFormat="1" ht="267" customHeight="1">
      <c r="A84" s="24" t="s">
        <v>261</v>
      </c>
      <c r="B84" s="37" t="s">
        <v>23</v>
      </c>
      <c r="C84" s="38" t="s">
        <v>177</v>
      </c>
      <c r="D84" s="37" t="s">
        <v>88</v>
      </c>
      <c r="E84" s="67" t="s">
        <v>178</v>
      </c>
      <c r="F84" s="38" t="s">
        <v>217</v>
      </c>
      <c r="G84" s="38" t="s">
        <v>121</v>
      </c>
      <c r="H84" s="37" t="s">
        <v>65</v>
      </c>
      <c r="I84" s="37" t="s">
        <v>283</v>
      </c>
      <c r="J84" s="38" t="s">
        <v>179</v>
      </c>
      <c r="K84" s="37" t="s">
        <v>88</v>
      </c>
      <c r="L84" s="67" t="s">
        <v>354</v>
      </c>
      <c r="M84" s="38" t="s">
        <v>217</v>
      </c>
      <c r="N84" s="38" t="s">
        <v>87</v>
      </c>
      <c r="O84" s="37" t="s">
        <v>284</v>
      </c>
      <c r="P84" s="108">
        <f>100-(100*(12/301))</f>
        <v>96.01328903654485</v>
      </c>
      <c r="Q84" s="108">
        <f>100-(100*(0/301))</f>
        <v>100</v>
      </c>
      <c r="R84" s="108">
        <f>100-(100*(38/301))</f>
        <v>87.37541528239203</v>
      </c>
      <c r="S84" s="108">
        <f>100-(100*(27/301))</f>
        <v>91.0299003322259</v>
      </c>
      <c r="T84" s="108">
        <f>100-(100*(21/301))</f>
        <v>93.02325581395348</v>
      </c>
      <c r="U84" s="108">
        <f>100-(100*(13/301))</f>
        <v>95.68106312292359</v>
      </c>
      <c r="V84" s="108">
        <f>100-(100*(89/301))</f>
        <v>70.43189368770764</v>
      </c>
      <c r="W84" s="108">
        <f>100-(100*(23/301))</f>
        <v>92.35880398671097</v>
      </c>
      <c r="X84" s="108">
        <f>100-(100*(54/301))</f>
        <v>82.05980066445183</v>
      </c>
      <c r="Y84" s="108">
        <f>100-(100*(24/301))</f>
        <v>92.0265780730897</v>
      </c>
      <c r="Z84" s="108">
        <f>100-(100*(29/540))</f>
        <v>94.62962962962963</v>
      </c>
    </row>
    <row r="85" spans="1:26" s="3" customFormat="1" ht="152.25" customHeight="1">
      <c r="A85" s="24" t="s">
        <v>262</v>
      </c>
      <c r="B85" s="37" t="s">
        <v>86</v>
      </c>
      <c r="C85" s="38" t="s">
        <v>179</v>
      </c>
      <c r="D85" s="37" t="s">
        <v>139</v>
      </c>
      <c r="E85" s="37" t="s">
        <v>180</v>
      </c>
      <c r="F85" s="38" t="s">
        <v>217</v>
      </c>
      <c r="G85" s="38" t="s">
        <v>121</v>
      </c>
      <c r="H85" s="37" t="s">
        <v>85</v>
      </c>
      <c r="I85" s="37" t="s">
        <v>355</v>
      </c>
      <c r="J85" s="38" t="s">
        <v>335</v>
      </c>
      <c r="K85" s="37" t="s">
        <v>287</v>
      </c>
      <c r="L85" s="37" t="s">
        <v>45</v>
      </c>
      <c r="M85" s="38" t="s">
        <v>217</v>
      </c>
      <c r="N85" s="38" t="s">
        <v>114</v>
      </c>
      <c r="O85" s="37" t="s">
        <v>85</v>
      </c>
      <c r="P85" s="83" t="s">
        <v>200</v>
      </c>
      <c r="Q85" s="83" t="s">
        <v>200</v>
      </c>
      <c r="R85" s="108">
        <f>100*(249/249)</f>
        <v>100</v>
      </c>
      <c r="S85" s="82">
        <f>100/(14518/14518)</f>
        <v>100</v>
      </c>
      <c r="T85" s="83" t="s">
        <v>200</v>
      </c>
      <c r="U85" s="108">
        <f>100*(59283/59296)</f>
        <v>99.97807609282245</v>
      </c>
      <c r="V85" s="108">
        <f>100*(23345/27943)</f>
        <v>83.54507390044019</v>
      </c>
      <c r="W85" s="83" t="s">
        <v>200</v>
      </c>
      <c r="X85" s="108">
        <f>100*(121/121)</f>
        <v>100</v>
      </c>
      <c r="Y85" s="146" t="s">
        <v>200</v>
      </c>
      <c r="Z85" s="108">
        <f>100*(4957.5/5317.4)</f>
        <v>93.23165456802197</v>
      </c>
    </row>
    <row r="86" spans="1:26" s="5" customFormat="1" ht="27.75" customHeight="1">
      <c r="A86" s="21" t="s">
        <v>226</v>
      </c>
      <c r="B86" s="39"/>
      <c r="C86" s="22"/>
      <c r="D86" s="22"/>
      <c r="E86" s="22"/>
      <c r="F86" s="22"/>
      <c r="G86" s="22"/>
      <c r="H86" s="22"/>
      <c r="I86" s="53" t="s">
        <v>390</v>
      </c>
      <c r="J86" s="53"/>
      <c r="K86" s="53"/>
      <c r="L86" s="53"/>
      <c r="M86" s="53"/>
      <c r="N86" s="53"/>
      <c r="O86" s="53"/>
      <c r="P86" s="10">
        <f>P87</f>
        <v>100</v>
      </c>
      <c r="Q86" s="10">
        <f aca="true" t="shared" si="1" ref="Q86:Y86">Q87</f>
        <v>100</v>
      </c>
      <c r="R86" s="10">
        <f t="shared" si="1"/>
        <v>100</v>
      </c>
      <c r="S86" s="10">
        <f t="shared" si="1"/>
        <v>100</v>
      </c>
      <c r="T86" s="10">
        <f t="shared" si="1"/>
        <v>100</v>
      </c>
      <c r="U86" s="10">
        <f t="shared" si="1"/>
        <v>100</v>
      </c>
      <c r="V86" s="10">
        <f t="shared" si="1"/>
        <v>100</v>
      </c>
      <c r="W86" s="10">
        <f t="shared" si="1"/>
        <v>100</v>
      </c>
      <c r="X86" s="10">
        <f t="shared" si="1"/>
        <v>100</v>
      </c>
      <c r="Y86" s="10">
        <f t="shared" si="1"/>
        <v>100</v>
      </c>
      <c r="Z86" s="10">
        <f>Z87</f>
        <v>0</v>
      </c>
    </row>
    <row r="87" spans="1:26" s="3" customFormat="1" ht="66.75" customHeight="1">
      <c r="A87" s="60" t="s">
        <v>227</v>
      </c>
      <c r="B87" s="45" t="s">
        <v>190</v>
      </c>
      <c r="C87" s="46" t="s">
        <v>247</v>
      </c>
      <c r="D87" s="45" t="s">
        <v>238</v>
      </c>
      <c r="E87" s="37" t="s">
        <v>190</v>
      </c>
      <c r="F87" s="38">
        <v>100</v>
      </c>
      <c r="G87" s="46" t="s">
        <v>114</v>
      </c>
      <c r="H87" s="45" t="s">
        <v>192</v>
      </c>
      <c r="I87" s="45" t="s">
        <v>316</v>
      </c>
      <c r="J87" s="46" t="s">
        <v>336</v>
      </c>
      <c r="K87" s="45" t="s">
        <v>238</v>
      </c>
      <c r="L87" s="37" t="s">
        <v>317</v>
      </c>
      <c r="M87" s="38">
        <v>100</v>
      </c>
      <c r="N87" s="46" t="s">
        <v>114</v>
      </c>
      <c r="O87" s="45" t="s">
        <v>319</v>
      </c>
      <c r="P87" s="65">
        <v>100</v>
      </c>
      <c r="Q87" s="65">
        <v>100</v>
      </c>
      <c r="R87" s="65">
        <v>100</v>
      </c>
      <c r="S87" s="65">
        <v>100</v>
      </c>
      <c r="T87" s="65">
        <v>100</v>
      </c>
      <c r="U87" s="65">
        <v>100</v>
      </c>
      <c r="V87" s="65">
        <v>100</v>
      </c>
      <c r="W87" s="65">
        <v>100</v>
      </c>
      <c r="X87" s="65">
        <v>100</v>
      </c>
      <c r="Y87" s="65">
        <v>100</v>
      </c>
      <c r="Z87" s="65">
        <v>0</v>
      </c>
    </row>
    <row r="88" spans="1:26" s="3" customFormat="1" ht="66.75" customHeight="1">
      <c r="A88" s="60"/>
      <c r="B88" s="45"/>
      <c r="C88" s="46"/>
      <c r="D88" s="45"/>
      <c r="E88" s="37" t="s">
        <v>191</v>
      </c>
      <c r="F88" s="38">
        <v>0</v>
      </c>
      <c r="G88" s="46"/>
      <c r="H88" s="45"/>
      <c r="I88" s="45"/>
      <c r="J88" s="46"/>
      <c r="K88" s="45"/>
      <c r="L88" s="37" t="s">
        <v>318</v>
      </c>
      <c r="M88" s="38">
        <v>0</v>
      </c>
      <c r="N88" s="46"/>
      <c r="O88" s="45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7" s="5" customFormat="1" ht="27" customHeight="1">
      <c r="A89" s="21" t="s">
        <v>193</v>
      </c>
      <c r="B89" s="47" t="s">
        <v>254</v>
      </c>
      <c r="C89" s="47"/>
      <c r="D89" s="47"/>
      <c r="E89" s="47"/>
      <c r="F89" s="47"/>
      <c r="G89" s="47"/>
      <c r="H89" s="47"/>
      <c r="I89" s="53" t="s">
        <v>254</v>
      </c>
      <c r="J89" s="53"/>
      <c r="K89" s="53"/>
      <c r="L89" s="53"/>
      <c r="M89" s="53"/>
      <c r="N89" s="53"/>
      <c r="O89" s="53"/>
      <c r="P89" s="59">
        <f>(P94)/1</f>
        <v>100</v>
      </c>
      <c r="Q89" s="10">
        <f>(Q90+Q92+Q94)/3</f>
        <v>100</v>
      </c>
      <c r="R89" s="59">
        <f>R94</f>
        <v>100</v>
      </c>
      <c r="S89" s="59">
        <f>(S90+S92+S94)/3</f>
        <v>93.33333333333333</v>
      </c>
      <c r="T89" s="59">
        <f>(T94)/1</f>
        <v>100</v>
      </c>
      <c r="U89" s="59">
        <f>(U90+U92+U94)/3</f>
        <v>78.21743161798794</v>
      </c>
      <c r="V89" s="59">
        <f>(V90+V92+V94+V96)/4</f>
        <v>85</v>
      </c>
      <c r="W89" s="10">
        <f>(W90+W92+W94+W96)/4</f>
        <v>95</v>
      </c>
      <c r="X89" s="59">
        <f>(X90+X92+X94+X96)/4</f>
        <v>100</v>
      </c>
      <c r="Y89" s="59">
        <f>(Y90+Y92+Y94+Y96)/4</f>
        <v>100</v>
      </c>
      <c r="Z89" s="59" t="e">
        <f>(Z90+Z94)/2</f>
        <v>#VALUE!</v>
      </c>
      <c r="AA89" s="5">
        <f>(P89+Q89+R89+S89+V89+W89+T89+U89+X89+Y89)/10</f>
        <v>95.15507649513212</v>
      </c>
    </row>
    <row r="90" spans="1:26" s="3" customFormat="1" ht="216" customHeight="1">
      <c r="A90" s="80" t="s">
        <v>228</v>
      </c>
      <c r="B90" s="45" t="s">
        <v>148</v>
      </c>
      <c r="C90" s="46" t="s">
        <v>147</v>
      </c>
      <c r="D90" s="45" t="s">
        <v>81</v>
      </c>
      <c r="E90" s="37" t="s">
        <v>33</v>
      </c>
      <c r="F90" s="38" t="s">
        <v>185</v>
      </c>
      <c r="G90" s="46" t="s">
        <v>114</v>
      </c>
      <c r="H90" s="45" t="s">
        <v>198</v>
      </c>
      <c r="I90" s="45" t="s">
        <v>376</v>
      </c>
      <c r="J90" s="46" t="s">
        <v>34</v>
      </c>
      <c r="K90" s="45" t="s">
        <v>356</v>
      </c>
      <c r="L90" s="37" t="s">
        <v>373</v>
      </c>
      <c r="M90" s="38" t="s">
        <v>185</v>
      </c>
      <c r="N90" s="46" t="s">
        <v>114</v>
      </c>
      <c r="O90" s="45" t="s">
        <v>377</v>
      </c>
      <c r="P90" s="63" t="s">
        <v>200</v>
      </c>
      <c r="Q90" s="65">
        <f>100-0</f>
        <v>100</v>
      </c>
      <c r="R90" s="63" t="s">
        <v>200</v>
      </c>
      <c r="S90" s="65">
        <f>100-20</f>
        <v>80</v>
      </c>
      <c r="T90" s="63" t="s">
        <v>200</v>
      </c>
      <c r="U90" s="65">
        <f>100-20-20</f>
        <v>60</v>
      </c>
      <c r="V90" s="65">
        <f>100-20-20-20</f>
        <v>40</v>
      </c>
      <c r="W90" s="65">
        <f>100-20</f>
        <v>80</v>
      </c>
      <c r="X90" s="65">
        <f>100-0</f>
        <v>100</v>
      </c>
      <c r="Y90" s="65">
        <f>100-0</f>
        <v>100</v>
      </c>
      <c r="Z90" s="65">
        <v>100</v>
      </c>
    </row>
    <row r="91" spans="1:26" s="3" customFormat="1" ht="66" customHeight="1">
      <c r="A91" s="80"/>
      <c r="B91" s="45"/>
      <c r="C91" s="46"/>
      <c r="D91" s="45"/>
      <c r="E91" s="37" t="s">
        <v>197</v>
      </c>
      <c r="F91" s="38" t="s">
        <v>200</v>
      </c>
      <c r="G91" s="46"/>
      <c r="H91" s="45"/>
      <c r="I91" s="45"/>
      <c r="J91" s="46"/>
      <c r="K91" s="45"/>
      <c r="L91" s="37" t="s">
        <v>374</v>
      </c>
      <c r="M91" s="38" t="s">
        <v>200</v>
      </c>
      <c r="N91" s="46"/>
      <c r="O91" s="45"/>
      <c r="P91" s="76"/>
      <c r="Q91" s="78"/>
      <c r="R91" s="76"/>
      <c r="S91" s="78"/>
      <c r="T91" s="76"/>
      <c r="U91" s="78"/>
      <c r="V91" s="78"/>
      <c r="W91" s="78"/>
      <c r="X91" s="78"/>
      <c r="Y91" s="78"/>
      <c r="Z91" s="78"/>
    </row>
    <row r="92" spans="1:26" s="3" customFormat="1" ht="203.25" customHeight="1">
      <c r="A92" s="80" t="s">
        <v>229</v>
      </c>
      <c r="B92" s="45" t="s">
        <v>90</v>
      </c>
      <c r="C92" s="46" t="s">
        <v>34</v>
      </c>
      <c r="D92" s="45" t="s">
        <v>82</v>
      </c>
      <c r="E92" s="37" t="s">
        <v>35</v>
      </c>
      <c r="F92" s="38" t="s">
        <v>217</v>
      </c>
      <c r="G92" s="46" t="s">
        <v>114</v>
      </c>
      <c r="H92" s="45" t="s">
        <v>91</v>
      </c>
      <c r="I92" s="45" t="s">
        <v>357</v>
      </c>
      <c r="J92" s="46" t="s">
        <v>337</v>
      </c>
      <c r="K92" s="45" t="s">
        <v>358</v>
      </c>
      <c r="L92" s="37" t="s">
        <v>285</v>
      </c>
      <c r="M92" s="38" t="s">
        <v>217</v>
      </c>
      <c r="N92" s="46" t="s">
        <v>114</v>
      </c>
      <c r="O92" s="45" t="s">
        <v>286</v>
      </c>
      <c r="P92" s="63" t="s">
        <v>200</v>
      </c>
      <c r="Q92" s="63">
        <f>100*(1/1)</f>
        <v>100</v>
      </c>
      <c r="R92" s="138" t="s">
        <v>200</v>
      </c>
      <c r="S92" s="63">
        <f>100*(1/1)</f>
        <v>100</v>
      </c>
      <c r="T92" s="63" t="s">
        <v>200</v>
      </c>
      <c r="U92" s="105">
        <f>100*(214.7/287.6)</f>
        <v>74.65229485396382</v>
      </c>
      <c r="V92" s="63">
        <f>100*(845.4/845.4)</f>
        <v>100</v>
      </c>
      <c r="W92" s="63">
        <f>100*(1/1)</f>
        <v>100</v>
      </c>
      <c r="X92" s="63">
        <f>100*(1/1)</f>
        <v>100</v>
      </c>
      <c r="Y92" s="101">
        <f>100*(1/1)</f>
        <v>100</v>
      </c>
      <c r="Z92" s="105" t="s">
        <v>200</v>
      </c>
    </row>
    <row r="93" spans="1:26" s="3" customFormat="1" ht="80.25" customHeight="1">
      <c r="A93" s="80"/>
      <c r="B93" s="45"/>
      <c r="C93" s="46"/>
      <c r="D93" s="45"/>
      <c r="E93" s="37" t="s">
        <v>197</v>
      </c>
      <c r="F93" s="38" t="s">
        <v>200</v>
      </c>
      <c r="G93" s="46"/>
      <c r="H93" s="45"/>
      <c r="I93" s="45"/>
      <c r="J93" s="46"/>
      <c r="K93" s="45"/>
      <c r="L93" s="37" t="s">
        <v>300</v>
      </c>
      <c r="M93" s="38" t="s">
        <v>200</v>
      </c>
      <c r="N93" s="46"/>
      <c r="O93" s="45"/>
      <c r="P93" s="76"/>
      <c r="Q93" s="76"/>
      <c r="R93" s="142"/>
      <c r="S93" s="76"/>
      <c r="T93" s="76"/>
      <c r="U93" s="106"/>
      <c r="V93" s="76"/>
      <c r="W93" s="76"/>
      <c r="X93" s="76"/>
      <c r="Y93" s="103"/>
      <c r="Z93" s="106"/>
    </row>
    <row r="94" spans="1:26" s="5" customFormat="1" ht="75" customHeight="1">
      <c r="A94" s="147" t="s">
        <v>230</v>
      </c>
      <c r="B94" s="45" t="s">
        <v>110</v>
      </c>
      <c r="C94" s="46" t="s">
        <v>248</v>
      </c>
      <c r="D94" s="45" t="s">
        <v>155</v>
      </c>
      <c r="E94" s="37" t="s">
        <v>109</v>
      </c>
      <c r="F94" s="38">
        <v>100</v>
      </c>
      <c r="G94" s="46" t="s">
        <v>114</v>
      </c>
      <c r="H94" s="45" t="s">
        <v>181</v>
      </c>
      <c r="I94" s="45" t="s">
        <v>110</v>
      </c>
      <c r="J94" s="46" t="s">
        <v>62</v>
      </c>
      <c r="K94" s="45" t="s">
        <v>155</v>
      </c>
      <c r="L94" s="37" t="s">
        <v>109</v>
      </c>
      <c r="M94" s="38">
        <v>100</v>
      </c>
      <c r="N94" s="46" t="s">
        <v>114</v>
      </c>
      <c r="O94" s="45" t="s">
        <v>181</v>
      </c>
      <c r="P94" s="148">
        <v>100</v>
      </c>
      <c r="Q94" s="148">
        <v>100</v>
      </c>
      <c r="R94" s="148">
        <v>100</v>
      </c>
      <c r="S94" s="148">
        <v>100</v>
      </c>
      <c r="T94" s="148">
        <v>100</v>
      </c>
      <c r="U94" s="148">
        <v>100</v>
      </c>
      <c r="V94" s="148">
        <v>100</v>
      </c>
      <c r="W94" s="148">
        <v>100</v>
      </c>
      <c r="X94" s="148">
        <v>100</v>
      </c>
      <c r="Y94" s="148">
        <v>100</v>
      </c>
      <c r="Z94" s="63" t="s">
        <v>200</v>
      </c>
    </row>
    <row r="95" spans="1:26" s="5" customFormat="1" ht="75" customHeight="1">
      <c r="A95" s="147"/>
      <c r="B95" s="45"/>
      <c r="C95" s="46"/>
      <c r="D95" s="45"/>
      <c r="E95" s="37" t="s">
        <v>110</v>
      </c>
      <c r="F95" s="38">
        <v>0</v>
      </c>
      <c r="G95" s="46"/>
      <c r="H95" s="45"/>
      <c r="I95" s="45"/>
      <c r="J95" s="46"/>
      <c r="K95" s="45"/>
      <c r="L95" s="37" t="s">
        <v>110</v>
      </c>
      <c r="M95" s="38">
        <v>0</v>
      </c>
      <c r="N95" s="46"/>
      <c r="O95" s="45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36"/>
    </row>
    <row r="96" spans="1:26" s="5" customFormat="1" ht="59.25" customHeight="1">
      <c r="A96" s="46" t="s">
        <v>231</v>
      </c>
      <c r="B96" s="45" t="s">
        <v>11</v>
      </c>
      <c r="C96" s="46" t="s">
        <v>62</v>
      </c>
      <c r="D96" s="45" t="s">
        <v>83</v>
      </c>
      <c r="E96" s="37" t="s">
        <v>12</v>
      </c>
      <c r="F96" s="38">
        <v>100</v>
      </c>
      <c r="G96" s="46" t="s">
        <v>114</v>
      </c>
      <c r="H96" s="45" t="s">
        <v>17</v>
      </c>
      <c r="I96" s="45" t="s">
        <v>11</v>
      </c>
      <c r="J96" s="46" t="s">
        <v>63</v>
      </c>
      <c r="K96" s="45" t="s">
        <v>359</v>
      </c>
      <c r="L96" s="37" t="s">
        <v>12</v>
      </c>
      <c r="M96" s="38">
        <v>100</v>
      </c>
      <c r="N96" s="46" t="s">
        <v>114</v>
      </c>
      <c r="O96" s="45" t="s">
        <v>17</v>
      </c>
      <c r="P96" s="66" t="s">
        <v>200</v>
      </c>
      <c r="Q96" s="63" t="s">
        <v>200</v>
      </c>
      <c r="R96" s="66" t="s">
        <v>200</v>
      </c>
      <c r="S96" s="66" t="s">
        <v>200</v>
      </c>
      <c r="T96" s="66" t="s">
        <v>200</v>
      </c>
      <c r="U96" s="66" t="s">
        <v>200</v>
      </c>
      <c r="V96" s="138">
        <v>100</v>
      </c>
      <c r="W96" s="64">
        <v>100</v>
      </c>
      <c r="X96" s="112">
        <v>100</v>
      </c>
      <c r="Y96" s="112">
        <v>100</v>
      </c>
      <c r="Z96" s="63" t="s">
        <v>200</v>
      </c>
    </row>
    <row r="97" spans="1:26" s="5" customFormat="1" ht="59.25" customHeight="1">
      <c r="A97" s="46"/>
      <c r="B97" s="45"/>
      <c r="C97" s="46"/>
      <c r="D97" s="45"/>
      <c r="E97" s="37" t="s">
        <v>11</v>
      </c>
      <c r="F97" s="38">
        <v>0</v>
      </c>
      <c r="G97" s="46"/>
      <c r="H97" s="45"/>
      <c r="I97" s="45"/>
      <c r="J97" s="46"/>
      <c r="K97" s="45"/>
      <c r="L97" s="37" t="s">
        <v>11</v>
      </c>
      <c r="M97" s="38">
        <v>0</v>
      </c>
      <c r="N97" s="46"/>
      <c r="O97" s="45"/>
      <c r="P97" s="73"/>
      <c r="Q97" s="73"/>
      <c r="R97" s="73"/>
      <c r="S97" s="73"/>
      <c r="T97" s="73"/>
      <c r="U97" s="73"/>
      <c r="V97" s="140"/>
      <c r="W97" s="71"/>
      <c r="X97" s="150"/>
      <c r="Y97" s="150"/>
      <c r="Z97" s="73"/>
    </row>
    <row r="98" spans="1:26" s="5" customFormat="1" ht="59.25" customHeight="1">
      <c r="A98" s="46"/>
      <c r="B98" s="45"/>
      <c r="C98" s="46"/>
      <c r="D98" s="45"/>
      <c r="E98" s="37" t="s">
        <v>10</v>
      </c>
      <c r="F98" s="38" t="s">
        <v>200</v>
      </c>
      <c r="G98" s="46"/>
      <c r="H98" s="45"/>
      <c r="I98" s="45"/>
      <c r="J98" s="46"/>
      <c r="K98" s="45"/>
      <c r="L98" s="37" t="s">
        <v>10</v>
      </c>
      <c r="M98" s="38" t="s">
        <v>200</v>
      </c>
      <c r="N98" s="46"/>
      <c r="O98" s="45"/>
      <c r="P98" s="79"/>
      <c r="Q98" s="79"/>
      <c r="R98" s="79"/>
      <c r="S98" s="79"/>
      <c r="T98" s="79"/>
      <c r="U98" s="79"/>
      <c r="V98" s="142"/>
      <c r="W98" s="77"/>
      <c r="X98" s="151"/>
      <c r="Y98" s="151"/>
      <c r="Z98" s="79"/>
    </row>
    <row r="99" spans="1:27" s="5" customFormat="1" ht="27.75" customHeight="1">
      <c r="A99" s="21" t="s">
        <v>196</v>
      </c>
      <c r="B99" s="47" t="s">
        <v>186</v>
      </c>
      <c r="C99" s="47"/>
      <c r="D99" s="48"/>
      <c r="E99" s="48"/>
      <c r="F99" s="48"/>
      <c r="G99" s="48"/>
      <c r="H99" s="48"/>
      <c r="I99" s="48" t="s">
        <v>186</v>
      </c>
      <c r="J99" s="48"/>
      <c r="K99" s="48"/>
      <c r="L99" s="48"/>
      <c r="M99" s="48"/>
      <c r="N99" s="48"/>
      <c r="O99" s="48"/>
      <c r="P99" s="10">
        <f>(P100)/1</f>
        <v>100</v>
      </c>
      <c r="Q99" s="10">
        <f>(Q100)/1</f>
        <v>100</v>
      </c>
      <c r="R99" s="10">
        <f>(R100)/1</f>
        <v>100</v>
      </c>
      <c r="S99" s="152">
        <f>(S100+S102)/2</f>
        <v>37.5</v>
      </c>
      <c r="T99" s="10">
        <f>(T100+T102)/2</f>
        <v>25</v>
      </c>
      <c r="U99" s="10">
        <f>U100</f>
        <v>100</v>
      </c>
      <c r="V99" s="10">
        <f>(V100)/1</f>
        <v>100</v>
      </c>
      <c r="W99" s="10">
        <f>(W100)/1</f>
        <v>100</v>
      </c>
      <c r="X99" s="10">
        <f>X100</f>
        <v>100</v>
      </c>
      <c r="Y99" s="10">
        <f>Y100</f>
        <v>100</v>
      </c>
      <c r="Z99" s="10">
        <f>Z100</f>
        <v>100</v>
      </c>
      <c r="AA99" s="5">
        <f>(P99+Q99+W99+V99+R99+S99+T99+U99+X99+Y99)/10</f>
        <v>86.25</v>
      </c>
    </row>
    <row r="100" spans="1:26" s="3" customFormat="1" ht="132" customHeight="1">
      <c r="A100" s="60" t="s">
        <v>232</v>
      </c>
      <c r="B100" s="153" t="s">
        <v>266</v>
      </c>
      <c r="C100" s="154" t="s">
        <v>63</v>
      </c>
      <c r="D100" s="45" t="s">
        <v>104</v>
      </c>
      <c r="E100" s="37" t="s">
        <v>3</v>
      </c>
      <c r="F100" s="38">
        <v>100</v>
      </c>
      <c r="G100" s="46" t="s">
        <v>114</v>
      </c>
      <c r="H100" s="45" t="s">
        <v>4</v>
      </c>
      <c r="I100" s="153" t="s">
        <v>360</v>
      </c>
      <c r="J100" s="154" t="s">
        <v>36</v>
      </c>
      <c r="K100" s="45" t="s">
        <v>302</v>
      </c>
      <c r="L100" s="37" t="s">
        <v>361</v>
      </c>
      <c r="M100" s="38">
        <v>100</v>
      </c>
      <c r="N100" s="46" t="s">
        <v>114</v>
      </c>
      <c r="O100" s="45" t="s">
        <v>363</v>
      </c>
      <c r="P100" s="65">
        <v>100</v>
      </c>
      <c r="Q100" s="65">
        <v>100</v>
      </c>
      <c r="R100" s="65">
        <v>100</v>
      </c>
      <c r="S100" s="65">
        <v>0</v>
      </c>
      <c r="T100" s="65">
        <v>0</v>
      </c>
      <c r="U100" s="65">
        <v>100</v>
      </c>
      <c r="V100" s="65">
        <v>100</v>
      </c>
      <c r="W100" s="65">
        <v>100</v>
      </c>
      <c r="X100" s="65">
        <v>100</v>
      </c>
      <c r="Y100" s="65">
        <v>100</v>
      </c>
      <c r="Z100" s="65">
        <v>100</v>
      </c>
    </row>
    <row r="101" spans="1:26" s="3" customFormat="1" ht="120" customHeight="1">
      <c r="A101" s="60"/>
      <c r="B101" s="153"/>
      <c r="C101" s="154"/>
      <c r="D101" s="45"/>
      <c r="E101" s="37" t="s">
        <v>267</v>
      </c>
      <c r="F101" s="38">
        <v>0</v>
      </c>
      <c r="G101" s="46"/>
      <c r="H101" s="45"/>
      <c r="I101" s="153"/>
      <c r="J101" s="154"/>
      <c r="K101" s="45"/>
      <c r="L101" s="37" t="s">
        <v>362</v>
      </c>
      <c r="M101" s="38">
        <v>0</v>
      </c>
      <c r="N101" s="46"/>
      <c r="O101" s="45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s="3" customFormat="1" ht="115.5" customHeight="1">
      <c r="A102" s="60" t="s">
        <v>233</v>
      </c>
      <c r="B102" s="45" t="s">
        <v>18</v>
      </c>
      <c r="C102" s="46" t="s">
        <v>36</v>
      </c>
      <c r="D102" s="45" t="s">
        <v>104</v>
      </c>
      <c r="E102" s="37" t="s">
        <v>47</v>
      </c>
      <c r="F102" s="38" t="s">
        <v>217</v>
      </c>
      <c r="G102" s="46" t="s">
        <v>114</v>
      </c>
      <c r="H102" s="45" t="s">
        <v>19</v>
      </c>
      <c r="I102" s="45" t="s">
        <v>18</v>
      </c>
      <c r="J102" s="46" t="s">
        <v>37</v>
      </c>
      <c r="K102" s="45" t="s">
        <v>302</v>
      </c>
      <c r="L102" s="37" t="s">
        <v>375</v>
      </c>
      <c r="M102" s="38" t="s">
        <v>217</v>
      </c>
      <c r="N102" s="46" t="s">
        <v>114</v>
      </c>
      <c r="O102" s="45" t="s">
        <v>19</v>
      </c>
      <c r="P102" s="63" t="s">
        <v>200</v>
      </c>
      <c r="Q102" s="63" t="s">
        <v>200</v>
      </c>
      <c r="R102" s="63" t="s">
        <v>200</v>
      </c>
      <c r="S102" s="63">
        <f>100*(3/4)</f>
        <v>75</v>
      </c>
      <c r="T102" s="63">
        <f>100*(1/2)</f>
        <v>50</v>
      </c>
      <c r="U102" s="63" t="s">
        <v>200</v>
      </c>
      <c r="V102" s="63" t="s">
        <v>200</v>
      </c>
      <c r="W102" s="63" t="s">
        <v>200</v>
      </c>
      <c r="X102" s="63" t="s">
        <v>200</v>
      </c>
      <c r="Y102" s="63" t="s">
        <v>200</v>
      </c>
      <c r="Z102" s="145" t="s">
        <v>200</v>
      </c>
    </row>
    <row r="103" spans="1:26" s="3" customFormat="1" ht="96.75" customHeight="1">
      <c r="A103" s="60"/>
      <c r="B103" s="45"/>
      <c r="C103" s="46"/>
      <c r="D103" s="45"/>
      <c r="E103" s="37" t="s">
        <v>259</v>
      </c>
      <c r="F103" s="38" t="s">
        <v>200</v>
      </c>
      <c r="G103" s="46"/>
      <c r="H103" s="45"/>
      <c r="I103" s="45"/>
      <c r="J103" s="46"/>
      <c r="K103" s="45"/>
      <c r="L103" s="37" t="s">
        <v>259</v>
      </c>
      <c r="M103" s="38" t="s">
        <v>200</v>
      </c>
      <c r="N103" s="46"/>
      <c r="O103" s="45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130"/>
    </row>
    <row r="104" spans="1:27" s="3" customFormat="1" ht="22.5" customHeight="1">
      <c r="A104" s="26" t="s">
        <v>199</v>
      </c>
      <c r="B104" s="27"/>
      <c r="C104" s="28"/>
      <c r="D104" s="27"/>
      <c r="E104" s="27"/>
      <c r="F104" s="28"/>
      <c r="G104" s="28"/>
      <c r="H104" s="27"/>
      <c r="I104" s="54" t="s">
        <v>288</v>
      </c>
      <c r="J104" s="55"/>
      <c r="K104" s="55"/>
      <c r="L104" s="55"/>
      <c r="M104" s="55"/>
      <c r="N104" s="55"/>
      <c r="O104" s="56"/>
      <c r="P104" s="155">
        <f>P105</f>
        <v>100</v>
      </c>
      <c r="Q104" s="155">
        <f aca="true" t="shared" si="2" ref="Q104:Y104">Q105</f>
        <v>0</v>
      </c>
      <c r="R104" s="155">
        <f t="shared" si="2"/>
        <v>100</v>
      </c>
      <c r="S104" s="155">
        <f t="shared" si="2"/>
        <v>100</v>
      </c>
      <c r="T104" s="155">
        <f t="shared" si="2"/>
        <v>100</v>
      </c>
      <c r="U104" s="155">
        <f t="shared" si="2"/>
        <v>0</v>
      </c>
      <c r="V104" s="155">
        <f t="shared" si="2"/>
        <v>0</v>
      </c>
      <c r="W104" s="155">
        <f t="shared" si="2"/>
        <v>100</v>
      </c>
      <c r="X104" s="155">
        <f t="shared" si="2"/>
        <v>0</v>
      </c>
      <c r="Y104" s="155">
        <f t="shared" si="2"/>
        <v>0</v>
      </c>
      <c r="Z104" s="155" t="str">
        <f>Z105</f>
        <v>показатель не оценивается</v>
      </c>
      <c r="AA104" s="3">
        <f>(P104+Q104+V104+W104+R104+S104+T104+U104+X104+Y104)/10</f>
        <v>50</v>
      </c>
    </row>
    <row r="105" spans="1:26" s="3" customFormat="1" ht="78" customHeight="1">
      <c r="A105" s="156" t="s">
        <v>234</v>
      </c>
      <c r="B105" s="37"/>
      <c r="C105" s="38"/>
      <c r="D105" s="37"/>
      <c r="E105" s="37"/>
      <c r="F105" s="38"/>
      <c r="G105" s="38"/>
      <c r="H105" s="37"/>
      <c r="I105" s="62" t="s">
        <v>292</v>
      </c>
      <c r="J105" s="62" t="s">
        <v>338</v>
      </c>
      <c r="K105" s="62" t="s">
        <v>293</v>
      </c>
      <c r="L105" s="37" t="s">
        <v>413</v>
      </c>
      <c r="M105" s="38"/>
      <c r="N105" s="62" t="s">
        <v>114</v>
      </c>
      <c r="O105" s="62" t="s">
        <v>299</v>
      </c>
      <c r="P105" s="65">
        <v>100</v>
      </c>
      <c r="Q105" s="65">
        <v>0</v>
      </c>
      <c r="R105" s="65">
        <v>100</v>
      </c>
      <c r="S105" s="65">
        <v>100</v>
      </c>
      <c r="T105" s="65">
        <v>100</v>
      </c>
      <c r="U105" s="143">
        <v>0</v>
      </c>
      <c r="V105" s="65">
        <v>0</v>
      </c>
      <c r="W105" s="65">
        <v>100</v>
      </c>
      <c r="X105" s="143">
        <v>0</v>
      </c>
      <c r="Y105" s="65">
        <v>0</v>
      </c>
      <c r="Z105" s="120" t="s">
        <v>200</v>
      </c>
    </row>
    <row r="106" spans="1:26" s="3" customFormat="1" ht="22.5" customHeight="1">
      <c r="A106" s="157"/>
      <c r="B106" s="37"/>
      <c r="C106" s="38"/>
      <c r="D106" s="37"/>
      <c r="E106" s="37"/>
      <c r="F106" s="38"/>
      <c r="G106" s="38"/>
      <c r="H106" s="37"/>
      <c r="I106" s="69"/>
      <c r="J106" s="69"/>
      <c r="K106" s="69"/>
      <c r="L106" s="37" t="s">
        <v>296</v>
      </c>
      <c r="M106" s="38">
        <v>100</v>
      </c>
      <c r="N106" s="69"/>
      <c r="O106" s="69"/>
      <c r="P106" s="72"/>
      <c r="Q106" s="72"/>
      <c r="R106" s="72"/>
      <c r="S106" s="72"/>
      <c r="T106" s="72"/>
      <c r="U106" s="119"/>
      <c r="V106" s="72"/>
      <c r="W106" s="72"/>
      <c r="X106" s="119"/>
      <c r="Y106" s="72"/>
      <c r="Z106" s="70"/>
    </row>
    <row r="107" spans="1:26" s="3" customFormat="1" ht="27.75" customHeight="1">
      <c r="A107" s="157"/>
      <c r="B107" s="37"/>
      <c r="C107" s="38"/>
      <c r="D107" s="37"/>
      <c r="E107" s="37"/>
      <c r="F107" s="38"/>
      <c r="G107" s="38"/>
      <c r="H107" s="37"/>
      <c r="I107" s="69"/>
      <c r="J107" s="69"/>
      <c r="K107" s="69"/>
      <c r="L107" s="37" t="s">
        <v>297</v>
      </c>
      <c r="M107" s="38">
        <v>50</v>
      </c>
      <c r="N107" s="69"/>
      <c r="O107" s="69"/>
      <c r="P107" s="72"/>
      <c r="Q107" s="72"/>
      <c r="R107" s="72"/>
      <c r="S107" s="72"/>
      <c r="T107" s="72"/>
      <c r="U107" s="119"/>
      <c r="V107" s="72"/>
      <c r="W107" s="72"/>
      <c r="X107" s="119"/>
      <c r="Y107" s="72"/>
      <c r="Z107" s="70"/>
    </row>
    <row r="108" spans="1:26" s="3" customFormat="1" ht="27.75" customHeight="1">
      <c r="A108" s="158"/>
      <c r="B108" s="37"/>
      <c r="C108" s="38"/>
      <c r="D108" s="37"/>
      <c r="E108" s="37"/>
      <c r="F108" s="38"/>
      <c r="G108" s="38"/>
      <c r="H108" s="37"/>
      <c r="I108" s="75"/>
      <c r="J108" s="75"/>
      <c r="K108" s="75"/>
      <c r="L108" s="37" t="s">
        <v>298</v>
      </c>
      <c r="M108" s="38">
        <v>0</v>
      </c>
      <c r="N108" s="75"/>
      <c r="O108" s="75"/>
      <c r="P108" s="78"/>
      <c r="Q108" s="78"/>
      <c r="R108" s="78"/>
      <c r="S108" s="78"/>
      <c r="T108" s="78"/>
      <c r="U108" s="129"/>
      <c r="V108" s="78"/>
      <c r="W108" s="78"/>
      <c r="X108" s="129"/>
      <c r="Y108" s="78"/>
      <c r="Z108" s="76"/>
    </row>
    <row r="109" spans="1:27" s="5" customFormat="1" ht="21.75" customHeight="1">
      <c r="A109" s="26" t="s">
        <v>289</v>
      </c>
      <c r="B109" s="49" t="s">
        <v>255</v>
      </c>
      <c r="C109" s="49"/>
      <c r="D109" s="50"/>
      <c r="E109" s="50"/>
      <c r="F109" s="50"/>
      <c r="G109" s="50"/>
      <c r="H109" s="50"/>
      <c r="I109" s="51" t="s">
        <v>255</v>
      </c>
      <c r="J109" s="51"/>
      <c r="K109" s="51"/>
      <c r="L109" s="51"/>
      <c r="M109" s="51"/>
      <c r="N109" s="51"/>
      <c r="O109" s="51"/>
      <c r="P109" s="11" t="s">
        <v>418</v>
      </c>
      <c r="Q109" s="11">
        <f>(Q110+Q112)/2</f>
        <v>100</v>
      </c>
      <c r="R109" s="11">
        <f aca="true" t="shared" si="3" ref="R109:Y109">(R110+R112)/2</f>
        <v>100</v>
      </c>
      <c r="S109" s="11">
        <f t="shared" si="3"/>
        <v>100</v>
      </c>
      <c r="T109" s="11">
        <f t="shared" si="3"/>
        <v>100</v>
      </c>
      <c r="U109" s="11">
        <f t="shared" si="3"/>
        <v>87.5</v>
      </c>
      <c r="V109" s="11">
        <f>(V110+V112)/2</f>
        <v>89.5</v>
      </c>
      <c r="W109" s="11">
        <f>(W110+W112)/2</f>
        <v>82</v>
      </c>
      <c r="X109" s="11">
        <f t="shared" si="3"/>
        <v>85</v>
      </c>
      <c r="Y109" s="11">
        <f t="shared" si="3"/>
        <v>80</v>
      </c>
      <c r="Z109" s="11">
        <v>0</v>
      </c>
      <c r="AA109" s="5">
        <f>(Q109+V109+W109+R109+S109+T109+U109+X109+Y109)/9</f>
        <v>91.55555555555556</v>
      </c>
    </row>
    <row r="110" spans="1:26" s="3" customFormat="1" ht="101.25" customHeight="1">
      <c r="A110" s="60" t="s">
        <v>290</v>
      </c>
      <c r="B110" s="45" t="s">
        <v>5</v>
      </c>
      <c r="C110" s="46" t="s">
        <v>37</v>
      </c>
      <c r="D110" s="45" t="s">
        <v>76</v>
      </c>
      <c r="E110" s="37" t="s">
        <v>48</v>
      </c>
      <c r="F110" s="38" t="s">
        <v>217</v>
      </c>
      <c r="G110" s="46" t="s">
        <v>114</v>
      </c>
      <c r="H110" s="45" t="s">
        <v>106</v>
      </c>
      <c r="I110" s="45" t="s">
        <v>5</v>
      </c>
      <c r="J110" s="46" t="s">
        <v>339</v>
      </c>
      <c r="K110" s="45" t="s">
        <v>364</v>
      </c>
      <c r="L110" s="37" t="s">
        <v>294</v>
      </c>
      <c r="M110" s="38" t="s">
        <v>217</v>
      </c>
      <c r="N110" s="46" t="s">
        <v>114</v>
      </c>
      <c r="O110" s="45" t="s">
        <v>106</v>
      </c>
      <c r="P110" s="105" t="s">
        <v>200</v>
      </c>
      <c r="Q110" s="101">
        <f>100*(2/2)</f>
        <v>100</v>
      </c>
      <c r="R110" s="101">
        <v>100</v>
      </c>
      <c r="S110" s="101">
        <f>100*(2/2)</f>
        <v>100</v>
      </c>
      <c r="T110" s="101">
        <v>100</v>
      </c>
      <c r="U110" s="101">
        <f>100*(4/4)</f>
        <v>100</v>
      </c>
      <c r="V110" s="101">
        <v>79</v>
      </c>
      <c r="W110" s="101">
        <v>64</v>
      </c>
      <c r="X110" s="101">
        <v>72</v>
      </c>
      <c r="Y110" s="101">
        <v>60</v>
      </c>
      <c r="Z110" s="105" t="s">
        <v>200</v>
      </c>
    </row>
    <row r="111" spans="1:26" s="3" customFormat="1" ht="41.25" customHeight="1">
      <c r="A111" s="60"/>
      <c r="B111" s="45"/>
      <c r="C111" s="46"/>
      <c r="D111" s="45"/>
      <c r="E111" s="37" t="s">
        <v>105</v>
      </c>
      <c r="F111" s="38" t="s">
        <v>200</v>
      </c>
      <c r="G111" s="46"/>
      <c r="H111" s="45"/>
      <c r="I111" s="45"/>
      <c r="J111" s="46"/>
      <c r="K111" s="45"/>
      <c r="L111" s="37" t="s">
        <v>105</v>
      </c>
      <c r="M111" s="38" t="s">
        <v>200</v>
      </c>
      <c r="N111" s="46"/>
      <c r="O111" s="45"/>
      <c r="P111" s="106"/>
      <c r="Q111" s="103"/>
      <c r="R111" s="103"/>
      <c r="S111" s="103"/>
      <c r="T111" s="103"/>
      <c r="U111" s="103"/>
      <c r="V111" s="103"/>
      <c r="W111" s="103"/>
      <c r="X111" s="103"/>
      <c r="Y111" s="103"/>
      <c r="Z111" s="106"/>
    </row>
    <row r="112" spans="1:93" s="3" customFormat="1" ht="111" customHeight="1">
      <c r="A112" s="80" t="s">
        <v>291</v>
      </c>
      <c r="B112" s="45" t="s">
        <v>107</v>
      </c>
      <c r="C112" s="46" t="s">
        <v>49</v>
      </c>
      <c r="D112" s="45" t="s">
        <v>77</v>
      </c>
      <c r="E112" s="37" t="s">
        <v>50</v>
      </c>
      <c r="F112" s="38" t="s">
        <v>217</v>
      </c>
      <c r="G112" s="46" t="s">
        <v>114</v>
      </c>
      <c r="H112" s="45" t="s">
        <v>108</v>
      </c>
      <c r="I112" s="45" t="s">
        <v>107</v>
      </c>
      <c r="J112" s="46" t="s">
        <v>340</v>
      </c>
      <c r="K112" s="45" t="s">
        <v>365</v>
      </c>
      <c r="L112" s="37" t="s">
        <v>295</v>
      </c>
      <c r="M112" s="38" t="s">
        <v>217</v>
      </c>
      <c r="N112" s="46" t="s">
        <v>114</v>
      </c>
      <c r="O112" s="45" t="s">
        <v>108</v>
      </c>
      <c r="P112" s="105" t="s">
        <v>200</v>
      </c>
      <c r="Q112" s="101">
        <f>100*(2/2)</f>
        <v>100</v>
      </c>
      <c r="R112" s="101">
        <f>100*(19/19)</f>
        <v>100</v>
      </c>
      <c r="S112" s="101">
        <f>100*(2/2)</f>
        <v>100</v>
      </c>
      <c r="T112" s="101">
        <f>100*(7/7)</f>
        <v>100</v>
      </c>
      <c r="U112" s="101">
        <v>75</v>
      </c>
      <c r="V112" s="101">
        <f>100*(42/42)</f>
        <v>100</v>
      </c>
      <c r="W112" s="101">
        <f>100*(1/1)</f>
        <v>100</v>
      </c>
      <c r="X112" s="101">
        <v>98</v>
      </c>
      <c r="Y112" s="101">
        <f>100*(1/1)</f>
        <v>100</v>
      </c>
      <c r="Z112" s="105" t="s">
        <v>200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</row>
    <row r="113" spans="1:93" s="3" customFormat="1" ht="38.25" customHeight="1">
      <c r="A113" s="80"/>
      <c r="B113" s="45"/>
      <c r="C113" s="46"/>
      <c r="D113" s="45"/>
      <c r="E113" s="37" t="s">
        <v>105</v>
      </c>
      <c r="F113" s="38" t="s">
        <v>200</v>
      </c>
      <c r="G113" s="46"/>
      <c r="H113" s="45"/>
      <c r="I113" s="45"/>
      <c r="J113" s="46"/>
      <c r="K113" s="45"/>
      <c r="L113" s="37" t="s">
        <v>105</v>
      </c>
      <c r="M113" s="38" t="s">
        <v>200</v>
      </c>
      <c r="N113" s="46"/>
      <c r="O113" s="45"/>
      <c r="P113" s="106"/>
      <c r="Q113" s="103"/>
      <c r="R113" s="103"/>
      <c r="S113" s="103"/>
      <c r="T113" s="103"/>
      <c r="U113" s="103"/>
      <c r="V113" s="103"/>
      <c r="W113" s="103"/>
      <c r="X113" s="103"/>
      <c r="Y113" s="103"/>
      <c r="Z113" s="10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</row>
    <row r="114" spans="3:10" ht="12.75">
      <c r="C114" s="23"/>
      <c r="J114" s="23"/>
    </row>
  </sheetData>
  <sheetProtection/>
  <mergeCells count="557">
    <mergeCell ref="A105:A108"/>
    <mergeCell ref="I105:I108"/>
    <mergeCell ref="J105:J108"/>
    <mergeCell ref="K105:K108"/>
    <mergeCell ref="O105:O108"/>
    <mergeCell ref="N105:N108"/>
    <mergeCell ref="I104:O104"/>
    <mergeCell ref="O112:O113"/>
    <mergeCell ref="A112:A113"/>
    <mergeCell ref="B112:B113"/>
    <mergeCell ref="C112:C113"/>
    <mergeCell ref="D112:D113"/>
    <mergeCell ref="I112:I113"/>
    <mergeCell ref="J112:J113"/>
    <mergeCell ref="K112:K113"/>
    <mergeCell ref="N112:N113"/>
    <mergeCell ref="G112:G113"/>
    <mergeCell ref="I14:L14"/>
    <mergeCell ref="I15:O15"/>
    <mergeCell ref="I86:O86"/>
    <mergeCell ref="I89:O89"/>
    <mergeCell ref="H112:H113"/>
    <mergeCell ref="H110:H111"/>
    <mergeCell ref="I110:I111"/>
    <mergeCell ref="J110:J111"/>
    <mergeCell ref="K110:K111"/>
    <mergeCell ref="I102:I103"/>
    <mergeCell ref="G110:G111"/>
    <mergeCell ref="N100:N101"/>
    <mergeCell ref="N110:N111"/>
    <mergeCell ref="O110:O111"/>
    <mergeCell ref="K102:K103"/>
    <mergeCell ref="N102:N103"/>
    <mergeCell ref="O102:O103"/>
    <mergeCell ref="B109:H109"/>
    <mergeCell ref="I109:O109"/>
    <mergeCell ref="H102:H103"/>
    <mergeCell ref="A110:A111"/>
    <mergeCell ref="B110:B111"/>
    <mergeCell ref="C110:C111"/>
    <mergeCell ref="D110:D111"/>
    <mergeCell ref="O100:O101"/>
    <mergeCell ref="A102:A103"/>
    <mergeCell ref="B102:B103"/>
    <mergeCell ref="C102:C103"/>
    <mergeCell ref="D102:D103"/>
    <mergeCell ref="G102:G103"/>
    <mergeCell ref="J102:J103"/>
    <mergeCell ref="A100:A101"/>
    <mergeCell ref="B99:H99"/>
    <mergeCell ref="I99:O99"/>
    <mergeCell ref="B100:B101"/>
    <mergeCell ref="C100:C101"/>
    <mergeCell ref="D100:D101"/>
    <mergeCell ref="G100:G101"/>
    <mergeCell ref="H100:H101"/>
    <mergeCell ref="I100:I101"/>
    <mergeCell ref="J100:J101"/>
    <mergeCell ref="K100:K101"/>
    <mergeCell ref="J96:J98"/>
    <mergeCell ref="K96:K98"/>
    <mergeCell ref="N96:N98"/>
    <mergeCell ref="I96:I98"/>
    <mergeCell ref="O96:O98"/>
    <mergeCell ref="K94:K95"/>
    <mergeCell ref="N94:N95"/>
    <mergeCell ref="O94:O95"/>
    <mergeCell ref="A96:A98"/>
    <mergeCell ref="B96:B98"/>
    <mergeCell ref="C96:C98"/>
    <mergeCell ref="D96:D98"/>
    <mergeCell ref="G96:G98"/>
    <mergeCell ref="H96:H98"/>
    <mergeCell ref="G94:G95"/>
    <mergeCell ref="H94:H95"/>
    <mergeCell ref="I94:I95"/>
    <mergeCell ref="J94:J95"/>
    <mergeCell ref="A94:A95"/>
    <mergeCell ref="B94:B95"/>
    <mergeCell ref="C94:C95"/>
    <mergeCell ref="D94:D95"/>
    <mergeCell ref="J92:J93"/>
    <mergeCell ref="I92:I93"/>
    <mergeCell ref="J90:J91"/>
    <mergeCell ref="K92:K93"/>
    <mergeCell ref="N92:N93"/>
    <mergeCell ref="O92:O93"/>
    <mergeCell ref="K90:K91"/>
    <mergeCell ref="N90:N91"/>
    <mergeCell ref="O90:O91"/>
    <mergeCell ref="D87:D88"/>
    <mergeCell ref="D90:D91"/>
    <mergeCell ref="B92:B93"/>
    <mergeCell ref="C92:C93"/>
    <mergeCell ref="D92:D93"/>
    <mergeCell ref="B90:B91"/>
    <mergeCell ref="C90:C91"/>
    <mergeCell ref="N87:N88"/>
    <mergeCell ref="O87:O88"/>
    <mergeCell ref="B89:H89"/>
    <mergeCell ref="G87:G88"/>
    <mergeCell ref="H87:H88"/>
    <mergeCell ref="I87:I88"/>
    <mergeCell ref="J87:J88"/>
    <mergeCell ref="B87:B88"/>
    <mergeCell ref="K87:K88"/>
    <mergeCell ref="C87:C88"/>
    <mergeCell ref="N79:N83"/>
    <mergeCell ref="A92:A93"/>
    <mergeCell ref="A87:A88"/>
    <mergeCell ref="G90:G91"/>
    <mergeCell ref="H90:H91"/>
    <mergeCell ref="I90:I91"/>
    <mergeCell ref="G92:G93"/>
    <mergeCell ref="H92:H93"/>
    <mergeCell ref="A90:A91"/>
    <mergeCell ref="C79:C83"/>
    <mergeCell ref="B79:B83"/>
    <mergeCell ref="D79:D83"/>
    <mergeCell ref="G79:G83"/>
    <mergeCell ref="G75:G78"/>
    <mergeCell ref="J79:J83"/>
    <mergeCell ref="K79:K83"/>
    <mergeCell ref="H79:H83"/>
    <mergeCell ref="I79:I83"/>
    <mergeCell ref="H75:H78"/>
    <mergeCell ref="I75:I78"/>
    <mergeCell ref="N71:N74"/>
    <mergeCell ref="A75:A78"/>
    <mergeCell ref="B75:B78"/>
    <mergeCell ref="C75:C78"/>
    <mergeCell ref="D75:D78"/>
    <mergeCell ref="O79:O83"/>
    <mergeCell ref="K75:K78"/>
    <mergeCell ref="N75:N78"/>
    <mergeCell ref="O75:O78"/>
    <mergeCell ref="A79:A83"/>
    <mergeCell ref="J75:J78"/>
    <mergeCell ref="H69:H70"/>
    <mergeCell ref="I71:I74"/>
    <mergeCell ref="J71:J74"/>
    <mergeCell ref="A71:A74"/>
    <mergeCell ref="B71:B74"/>
    <mergeCell ref="C71:C74"/>
    <mergeCell ref="D71:D74"/>
    <mergeCell ref="G71:G74"/>
    <mergeCell ref="A69:A70"/>
    <mergeCell ref="B69:B70"/>
    <mergeCell ref="C69:C70"/>
    <mergeCell ref="D69:D70"/>
    <mergeCell ref="G69:G70"/>
    <mergeCell ref="H71:H74"/>
    <mergeCell ref="O65:O68"/>
    <mergeCell ref="I69:I70"/>
    <mergeCell ref="K65:K68"/>
    <mergeCell ref="O71:O74"/>
    <mergeCell ref="K69:K70"/>
    <mergeCell ref="N69:N70"/>
    <mergeCell ref="O69:O70"/>
    <mergeCell ref="J69:J70"/>
    <mergeCell ref="K71:K74"/>
    <mergeCell ref="G56:G62"/>
    <mergeCell ref="H56:H62"/>
    <mergeCell ref="H65:H68"/>
    <mergeCell ref="I65:I68"/>
    <mergeCell ref="J65:J68"/>
    <mergeCell ref="O56:O62"/>
    <mergeCell ref="N65:N68"/>
    <mergeCell ref="G65:G68"/>
    <mergeCell ref="A65:A68"/>
    <mergeCell ref="B65:B68"/>
    <mergeCell ref="C65:C68"/>
    <mergeCell ref="D65:D68"/>
    <mergeCell ref="E65:E67"/>
    <mergeCell ref="F65:F67"/>
    <mergeCell ref="H51:H54"/>
    <mergeCell ref="A51:A54"/>
    <mergeCell ref="B51:B54"/>
    <mergeCell ref="C51:C54"/>
    <mergeCell ref="D51:D54"/>
    <mergeCell ref="A56:A62"/>
    <mergeCell ref="B56:B62"/>
    <mergeCell ref="C56:C62"/>
    <mergeCell ref="D56:D62"/>
    <mergeCell ref="G51:G54"/>
    <mergeCell ref="I51:I54"/>
    <mergeCell ref="J51:J54"/>
    <mergeCell ref="K51:K54"/>
    <mergeCell ref="N51:N54"/>
    <mergeCell ref="O51:O54"/>
    <mergeCell ref="K56:K62"/>
    <mergeCell ref="N56:N62"/>
    <mergeCell ref="I56:I62"/>
    <mergeCell ref="J56:J62"/>
    <mergeCell ref="A47:A49"/>
    <mergeCell ref="B47:B49"/>
    <mergeCell ref="C47:C49"/>
    <mergeCell ref="D47:D49"/>
    <mergeCell ref="H47:H49"/>
    <mergeCell ref="I47:I49"/>
    <mergeCell ref="J47:J49"/>
    <mergeCell ref="B45:H45"/>
    <mergeCell ref="I45:O45"/>
    <mergeCell ref="K43:K44"/>
    <mergeCell ref="N43:N44"/>
    <mergeCell ref="O43:O44"/>
    <mergeCell ref="K47:K49"/>
    <mergeCell ref="O47:O49"/>
    <mergeCell ref="G48:G49"/>
    <mergeCell ref="N48:N49"/>
    <mergeCell ref="K40:K41"/>
    <mergeCell ref="N40:N41"/>
    <mergeCell ref="O40:O41"/>
    <mergeCell ref="B43:B44"/>
    <mergeCell ref="C43:C44"/>
    <mergeCell ref="D43:D44"/>
    <mergeCell ref="G43:G44"/>
    <mergeCell ref="H43:H44"/>
    <mergeCell ref="J43:J44"/>
    <mergeCell ref="I43:I44"/>
    <mergeCell ref="H40:H41"/>
    <mergeCell ref="I40:I41"/>
    <mergeCell ref="J40:J41"/>
    <mergeCell ref="A40:A41"/>
    <mergeCell ref="B40:B41"/>
    <mergeCell ref="C40:C41"/>
    <mergeCell ref="D40:D41"/>
    <mergeCell ref="K38:K39"/>
    <mergeCell ref="N38:N39"/>
    <mergeCell ref="O38:O39"/>
    <mergeCell ref="K36:K37"/>
    <mergeCell ref="N36:N37"/>
    <mergeCell ref="O36:O37"/>
    <mergeCell ref="I38:I39"/>
    <mergeCell ref="G36:G37"/>
    <mergeCell ref="H36:H37"/>
    <mergeCell ref="I36:I37"/>
    <mergeCell ref="J36:J37"/>
    <mergeCell ref="A43:A44"/>
    <mergeCell ref="B38:B39"/>
    <mergeCell ref="C38:C39"/>
    <mergeCell ref="D38:D39"/>
    <mergeCell ref="G40:G41"/>
    <mergeCell ref="K30:K34"/>
    <mergeCell ref="A36:A37"/>
    <mergeCell ref="B36:B37"/>
    <mergeCell ref="C36:C37"/>
    <mergeCell ref="D36:D37"/>
    <mergeCell ref="A38:A39"/>
    <mergeCell ref="G30:G34"/>
    <mergeCell ref="G38:G39"/>
    <mergeCell ref="H38:H39"/>
    <mergeCell ref="J38:J39"/>
    <mergeCell ref="A27:A28"/>
    <mergeCell ref="H30:H34"/>
    <mergeCell ref="N30:N34"/>
    <mergeCell ref="O30:O34"/>
    <mergeCell ref="A30:A34"/>
    <mergeCell ref="B30:B34"/>
    <mergeCell ref="C30:C34"/>
    <mergeCell ref="D30:D34"/>
    <mergeCell ref="I30:I34"/>
    <mergeCell ref="J30:J34"/>
    <mergeCell ref="N27:N28"/>
    <mergeCell ref="I27:I28"/>
    <mergeCell ref="J27:J28"/>
    <mergeCell ref="K27:K28"/>
    <mergeCell ref="O27:O28"/>
    <mergeCell ref="B27:B28"/>
    <mergeCell ref="C27:C28"/>
    <mergeCell ref="D27:D28"/>
    <mergeCell ref="G27:G28"/>
    <mergeCell ref="D16:D19"/>
    <mergeCell ref="G16:G19"/>
    <mergeCell ref="I20:I22"/>
    <mergeCell ref="J20:J22"/>
    <mergeCell ref="K20:K22"/>
    <mergeCell ref="N20:N22"/>
    <mergeCell ref="A8:O8"/>
    <mergeCell ref="A20:A22"/>
    <mergeCell ref="B20:B22"/>
    <mergeCell ref="C20:C22"/>
    <mergeCell ref="D20:D22"/>
    <mergeCell ref="G20:G22"/>
    <mergeCell ref="A16:A19"/>
    <mergeCell ref="B16:B19"/>
    <mergeCell ref="C16:C19"/>
    <mergeCell ref="H16:H19"/>
    <mergeCell ref="S16:S19"/>
    <mergeCell ref="T16:T19"/>
    <mergeCell ref="U16:U19"/>
    <mergeCell ref="R16:R19"/>
    <mergeCell ref="H20:H22"/>
    <mergeCell ref="H27:H28"/>
    <mergeCell ref="O20:O22"/>
    <mergeCell ref="I16:I19"/>
    <mergeCell ref="J16:J19"/>
    <mergeCell ref="K16:K19"/>
    <mergeCell ref="X16:X19"/>
    <mergeCell ref="Y16:Y19"/>
    <mergeCell ref="Z16:Z19"/>
    <mergeCell ref="P20:P22"/>
    <mergeCell ref="Q20:Q22"/>
    <mergeCell ref="R20:R22"/>
    <mergeCell ref="S20:S22"/>
    <mergeCell ref="T20:T22"/>
    <mergeCell ref="P16:P19"/>
    <mergeCell ref="Q16:Q19"/>
    <mergeCell ref="Y20:Y22"/>
    <mergeCell ref="Z20:Z22"/>
    <mergeCell ref="P27:P28"/>
    <mergeCell ref="Q27:Q28"/>
    <mergeCell ref="R27:R28"/>
    <mergeCell ref="S27:S28"/>
    <mergeCell ref="X27:X28"/>
    <mergeCell ref="Y27:Y28"/>
    <mergeCell ref="Z27:Z28"/>
    <mergeCell ref="U20:U22"/>
    <mergeCell ref="U30:U34"/>
    <mergeCell ref="T27:T28"/>
    <mergeCell ref="U27:U28"/>
    <mergeCell ref="T30:T34"/>
    <mergeCell ref="X20:X22"/>
    <mergeCell ref="Z36:Z37"/>
    <mergeCell ref="Y30:Y34"/>
    <mergeCell ref="Z30:Z34"/>
    <mergeCell ref="P30:P34"/>
    <mergeCell ref="Q30:Q34"/>
    <mergeCell ref="R30:R34"/>
    <mergeCell ref="S30:S34"/>
    <mergeCell ref="R38:R39"/>
    <mergeCell ref="S38:S39"/>
    <mergeCell ref="X30:X34"/>
    <mergeCell ref="U36:U37"/>
    <mergeCell ref="X36:X37"/>
    <mergeCell ref="Y36:Y37"/>
    <mergeCell ref="S102:S103"/>
    <mergeCell ref="T102:T103"/>
    <mergeCell ref="P38:P39"/>
    <mergeCell ref="Q38:Q39"/>
    <mergeCell ref="Z38:Z39"/>
    <mergeCell ref="P36:P37"/>
    <mergeCell ref="Q36:Q37"/>
    <mergeCell ref="R36:R37"/>
    <mergeCell ref="S36:S37"/>
    <mergeCell ref="T36:T37"/>
    <mergeCell ref="P110:P111"/>
    <mergeCell ref="Q110:Q111"/>
    <mergeCell ref="R110:R111"/>
    <mergeCell ref="P43:P44"/>
    <mergeCell ref="Q43:Q44"/>
    <mergeCell ref="R43:R44"/>
    <mergeCell ref="P71:P74"/>
    <mergeCell ref="X112:X113"/>
    <mergeCell ref="S110:S111"/>
    <mergeCell ref="T110:T111"/>
    <mergeCell ref="U110:U111"/>
    <mergeCell ref="X110:X111"/>
    <mergeCell ref="Y110:Y111"/>
    <mergeCell ref="T38:T39"/>
    <mergeCell ref="U38:U39"/>
    <mergeCell ref="X38:X39"/>
    <mergeCell ref="Y38:Y39"/>
    <mergeCell ref="P40:P41"/>
    <mergeCell ref="Q40:Q41"/>
    <mergeCell ref="R40:R41"/>
    <mergeCell ref="S40:S41"/>
    <mergeCell ref="T40:T41"/>
    <mergeCell ref="U40:U41"/>
    <mergeCell ref="Y112:Y113"/>
    <mergeCell ref="Z112:Z113"/>
    <mergeCell ref="Z110:Z111"/>
    <mergeCell ref="P112:P113"/>
    <mergeCell ref="Q112:Q113"/>
    <mergeCell ref="R112:R113"/>
    <mergeCell ref="W112:W113"/>
    <mergeCell ref="S112:S113"/>
    <mergeCell ref="T112:T113"/>
    <mergeCell ref="U112:U113"/>
    <mergeCell ref="X40:X41"/>
    <mergeCell ref="Y40:Y41"/>
    <mergeCell ref="Z40:Z41"/>
    <mergeCell ref="S43:S44"/>
    <mergeCell ref="T43:T44"/>
    <mergeCell ref="U43:U44"/>
    <mergeCell ref="X43:X44"/>
    <mergeCell ref="Y43:Y44"/>
    <mergeCell ref="Z43:Z44"/>
    <mergeCell ref="V40:V41"/>
    <mergeCell ref="T47:T49"/>
    <mergeCell ref="P47:P49"/>
    <mergeCell ref="Q47:Q49"/>
    <mergeCell ref="S47:S49"/>
    <mergeCell ref="R47:R49"/>
    <mergeCell ref="U47:U49"/>
    <mergeCell ref="Z71:Z74"/>
    <mergeCell ref="P87:P88"/>
    <mergeCell ref="Q87:Q88"/>
    <mergeCell ref="R87:R88"/>
    <mergeCell ref="S87:S88"/>
    <mergeCell ref="T87:T88"/>
    <mergeCell ref="U87:U88"/>
    <mergeCell ref="R71:R74"/>
    <mergeCell ref="Z87:Z88"/>
    <mergeCell ref="X87:X88"/>
    <mergeCell ref="P90:P91"/>
    <mergeCell ref="Q90:Q91"/>
    <mergeCell ref="R90:R91"/>
    <mergeCell ref="S90:S91"/>
    <mergeCell ref="T90:T91"/>
    <mergeCell ref="P92:P93"/>
    <mergeCell ref="Q92:Q93"/>
    <mergeCell ref="S92:S93"/>
    <mergeCell ref="T92:T93"/>
    <mergeCell ref="Y87:Y88"/>
    <mergeCell ref="Y90:Y91"/>
    <mergeCell ref="Z90:Z91"/>
    <mergeCell ref="X92:X93"/>
    <mergeCell ref="Y92:Y93"/>
    <mergeCell ref="Z92:Z93"/>
    <mergeCell ref="Z94:Z95"/>
    <mergeCell ref="Y94:Y95"/>
    <mergeCell ref="P94:P95"/>
    <mergeCell ref="Q94:Q95"/>
    <mergeCell ref="R94:R95"/>
    <mergeCell ref="S94:S95"/>
    <mergeCell ref="W94:W95"/>
    <mergeCell ref="U94:U95"/>
    <mergeCell ref="P105:P108"/>
    <mergeCell ref="Q105:Q108"/>
    <mergeCell ref="R105:R108"/>
    <mergeCell ref="S105:S108"/>
    <mergeCell ref="T105:T108"/>
    <mergeCell ref="T100:T101"/>
    <mergeCell ref="Q102:Q103"/>
    <mergeCell ref="R102:R103"/>
    <mergeCell ref="P100:P101"/>
    <mergeCell ref="Q100:Q101"/>
    <mergeCell ref="P51:P54"/>
    <mergeCell ref="Q51:Q54"/>
    <mergeCell ref="R51:R54"/>
    <mergeCell ref="P102:P103"/>
    <mergeCell ref="P69:P70"/>
    <mergeCell ref="Q69:Q70"/>
    <mergeCell ref="R100:R101"/>
    <mergeCell ref="P96:P98"/>
    <mergeCell ref="Q96:Q98"/>
    <mergeCell ref="R92:R93"/>
    <mergeCell ref="X47:X49"/>
    <mergeCell ref="Y47:Y49"/>
    <mergeCell ref="Z47:Z49"/>
    <mergeCell ref="Y51:Y54"/>
    <mergeCell ref="U100:U101"/>
    <mergeCell ref="X100:X101"/>
    <mergeCell ref="Y100:Y101"/>
    <mergeCell ref="U96:U98"/>
    <mergeCell ref="X96:X98"/>
    <mergeCell ref="X56:X62"/>
    <mergeCell ref="Y105:Y108"/>
    <mergeCell ref="Z105:Z108"/>
    <mergeCell ref="R96:R98"/>
    <mergeCell ref="X102:X103"/>
    <mergeCell ref="Y102:Y103"/>
    <mergeCell ref="Y96:Y98"/>
    <mergeCell ref="Z96:Z98"/>
    <mergeCell ref="Z100:Z101"/>
    <mergeCell ref="S100:S101"/>
    <mergeCell ref="U102:U103"/>
    <mergeCell ref="Z51:Z54"/>
    <mergeCell ref="S51:S54"/>
    <mergeCell ref="T51:T54"/>
    <mergeCell ref="U51:U54"/>
    <mergeCell ref="Z56:Z62"/>
    <mergeCell ref="U56:U62"/>
    <mergeCell ref="Y56:Y62"/>
    <mergeCell ref="X51:X54"/>
    <mergeCell ref="P56:P62"/>
    <mergeCell ref="Q56:Q62"/>
    <mergeCell ref="R56:R62"/>
    <mergeCell ref="S56:S62"/>
    <mergeCell ref="R69:R70"/>
    <mergeCell ref="T56:T62"/>
    <mergeCell ref="X65:X68"/>
    <mergeCell ref="Y65:Y68"/>
    <mergeCell ref="Z69:Z70"/>
    <mergeCell ref="P65:P68"/>
    <mergeCell ref="Q65:Q68"/>
    <mergeCell ref="R65:R68"/>
    <mergeCell ref="S65:S68"/>
    <mergeCell ref="T65:T68"/>
    <mergeCell ref="U65:U68"/>
    <mergeCell ref="Z65:Z68"/>
    <mergeCell ref="Y69:Y70"/>
    <mergeCell ref="T69:T70"/>
    <mergeCell ref="U69:U70"/>
    <mergeCell ref="Y71:Y74"/>
    <mergeCell ref="S71:S74"/>
    <mergeCell ref="T71:T74"/>
    <mergeCell ref="U71:U74"/>
    <mergeCell ref="X71:X74"/>
    <mergeCell ref="V69:V70"/>
    <mergeCell ref="W71:W74"/>
    <mergeCell ref="Q71:Q74"/>
    <mergeCell ref="S69:S70"/>
    <mergeCell ref="X69:X70"/>
    <mergeCell ref="S96:S98"/>
    <mergeCell ref="T94:T95"/>
    <mergeCell ref="T96:T98"/>
    <mergeCell ref="X94:X95"/>
    <mergeCell ref="U92:U93"/>
    <mergeCell ref="U90:U91"/>
    <mergeCell ref="X90:X91"/>
    <mergeCell ref="V16:V19"/>
    <mergeCell ref="V20:V22"/>
    <mergeCell ref="V27:V28"/>
    <mergeCell ref="V30:V34"/>
    <mergeCell ref="V36:V37"/>
    <mergeCell ref="V38:V39"/>
    <mergeCell ref="V43:V44"/>
    <mergeCell ref="V47:V49"/>
    <mergeCell ref="V51:V54"/>
    <mergeCell ref="V56:V62"/>
    <mergeCell ref="V65:V68"/>
    <mergeCell ref="V112:V113"/>
    <mergeCell ref="V87:V88"/>
    <mergeCell ref="V90:V91"/>
    <mergeCell ref="V92:V93"/>
    <mergeCell ref="V100:V101"/>
    <mergeCell ref="W16:W19"/>
    <mergeCell ref="W20:W22"/>
    <mergeCell ref="W27:W28"/>
    <mergeCell ref="W30:W34"/>
    <mergeCell ref="W36:W37"/>
    <mergeCell ref="V71:V74"/>
    <mergeCell ref="W51:W54"/>
    <mergeCell ref="W56:W62"/>
    <mergeCell ref="W65:W68"/>
    <mergeCell ref="W69:W70"/>
    <mergeCell ref="V102:V103"/>
    <mergeCell ref="V105:V108"/>
    <mergeCell ref="V110:V111"/>
    <mergeCell ref="V94:V95"/>
    <mergeCell ref="V96:V98"/>
    <mergeCell ref="W110:W111"/>
    <mergeCell ref="W100:W101"/>
    <mergeCell ref="W102:W103"/>
    <mergeCell ref="W105:W108"/>
    <mergeCell ref="W87:W88"/>
    <mergeCell ref="W90:W91"/>
    <mergeCell ref="W92:W93"/>
    <mergeCell ref="V11:Z11"/>
    <mergeCell ref="P11:U11"/>
    <mergeCell ref="W96:W98"/>
    <mergeCell ref="W38:W39"/>
    <mergeCell ref="W40:W41"/>
    <mergeCell ref="W43:W44"/>
    <mergeCell ref="W47:W49"/>
  </mergeCells>
  <printOptions/>
  <pageMargins left="0.511811023622047" right="0.275590551181102" top="0.354330708661417" bottom="0.511811023622047" header="0.354330708661417" footer="0.511811023622047"/>
  <pageSetup fitToHeight="8" fitToWidth="1" horizontalDpi="600" verticalDpi="600" orientation="landscape" paperSize="8" scale="56" r:id="rId5"/>
  <legacyDrawing r:id="rId4"/>
  <oleObjects>
    <oleObject progId="Equation.3" shapeId="1238610" r:id="rId1"/>
    <oleObject progId="Equation.DSMT4" shapeId="1238611" r:id="rId2"/>
    <oleObject progId="Equation.3" shapeId="12386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F19"/>
  <sheetViews>
    <sheetView zoomScalePageLayoutView="0" workbookViewId="0" topLeftCell="A13">
      <selection activeCell="A43" sqref="A43"/>
    </sheetView>
  </sheetViews>
  <sheetFormatPr defaultColWidth="9.00390625" defaultRowHeight="12.75"/>
  <cols>
    <col min="1" max="1" width="14.375" style="0" customWidth="1"/>
    <col min="2" max="8" width="13.625" style="0" bestFit="1" customWidth="1"/>
  </cols>
  <sheetData>
    <row r="7" ht="18">
      <c r="A7" s="35" t="s">
        <v>419</v>
      </c>
    </row>
    <row r="9" spans="1:6" ht="105">
      <c r="A9" s="33" t="s">
        <v>380</v>
      </c>
      <c r="B9" s="33" t="s">
        <v>381</v>
      </c>
      <c r="C9" s="33" t="s">
        <v>382</v>
      </c>
      <c r="D9" s="33" t="s">
        <v>383</v>
      </c>
      <c r="E9" s="33" t="s">
        <v>386</v>
      </c>
      <c r="F9" s="33" t="s">
        <v>388</v>
      </c>
    </row>
    <row r="10" spans="1:6" ht="12.75">
      <c r="A10" s="34">
        <v>98.63260611868333</v>
      </c>
      <c r="B10" s="34">
        <v>83.7138406764575</v>
      </c>
      <c r="C10" s="34">
        <v>98.52259487593328</v>
      </c>
      <c r="D10" s="34">
        <v>83.82124488244811</v>
      </c>
      <c r="E10" s="34">
        <v>83.41899989186811</v>
      </c>
      <c r="F10" s="34">
        <v>76.62745960998242</v>
      </c>
    </row>
    <row r="18" spans="1:4" ht="92.25">
      <c r="A18" s="32" t="s">
        <v>387</v>
      </c>
      <c r="B18" s="32" t="s">
        <v>416</v>
      </c>
      <c r="C18" s="32" t="s">
        <v>384</v>
      </c>
      <c r="D18" s="32" t="s">
        <v>415</v>
      </c>
    </row>
    <row r="19" spans="1:4" ht="12.75">
      <c r="A19" s="31">
        <v>76.8112942085489</v>
      </c>
      <c r="B19" s="31">
        <v>94.238445159918</v>
      </c>
      <c r="C19" s="31">
        <v>80.54541295833488</v>
      </c>
      <c r="D19" s="31">
        <v>78.60021126827185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02-2211</cp:lastModifiedBy>
  <cp:lastPrinted>2017-05-27T06:52:13Z</cp:lastPrinted>
  <dcterms:created xsi:type="dcterms:W3CDTF">2010-04-07T08:18:01Z</dcterms:created>
  <dcterms:modified xsi:type="dcterms:W3CDTF">2017-05-30T14:16:28Z</dcterms:modified>
  <cp:category/>
  <cp:version/>
  <cp:contentType/>
  <cp:contentStatus/>
</cp:coreProperties>
</file>