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 activeTab="1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дотации'!$A$1:$J$25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дотации'!$A$1:$J$25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дотации'!$A$2:$J$19</definedName>
    <definedName name="_xlnm.Print_Area" localSheetId="4">'2 часть дотации (реальные пок2)'!$A$1:$AN$25</definedName>
  </definedNames>
  <calcPr calcId="144525"/>
  <customWorkbookViews>
    <customWorkbookView name="23 - Личное представление" guid="{302671BE-4EBD-4277-AB7D-2E6FD69B3D87}" mergeInterval="0" personalView="1" maximized="1" windowWidth="1916" windowHeight="834" tabRatio="960" activeSheetId="2"/>
    <customWorkbookView name="022217 - Личное представление" guid="{CE336351-7BD3-4872-92F0-8965CF315520}" mergeInterval="0" personalView="1" maximized="1" windowWidth="1916" windowHeight="814" tabRatio="960" activeSheetId="6"/>
  </customWorkbookViews>
</workbook>
</file>

<file path=xl/calcChain.xml><?xml version="1.0" encoding="utf-8"?>
<calcChain xmlns="http://schemas.openxmlformats.org/spreadsheetml/2006/main">
  <c r="B5" i="1" l="1"/>
  <c r="B8" i="1" l="1"/>
  <c r="B4" i="1" l="1"/>
  <c r="AI19" i="9" l="1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D19" i="9" s="1"/>
  <c r="AB9" i="9"/>
  <c r="Z9" i="9"/>
  <c r="X9" i="9"/>
  <c r="V9" i="9"/>
  <c r="T9" i="9"/>
  <c r="R9" i="9"/>
  <c r="P9" i="9"/>
  <c r="N9" i="9"/>
  <c r="C9" i="9"/>
  <c r="P19" i="9" l="1"/>
  <c r="C19" i="9"/>
  <c r="N19" i="9"/>
  <c r="V19" i="9"/>
  <c r="AB19" i="9"/>
  <c r="R19" i="9"/>
  <c r="X19" i="9"/>
  <c r="T19" i="9"/>
  <c r="Z19" i="9"/>
  <c r="AH19" i="9"/>
  <c r="AF19" i="9"/>
  <c r="E19" i="9"/>
  <c r="H16" i="4" l="1"/>
  <c r="H15" i="4"/>
  <c r="H13" i="4"/>
  <c r="H12" i="4"/>
  <c r="H11" i="4"/>
  <c r="H10" i="4"/>
  <c r="H9" i="4"/>
  <c r="H8" i="4"/>
  <c r="H7" i="4"/>
  <c r="C8" i="4"/>
  <c r="C9" i="4"/>
  <c r="C10" i="4"/>
  <c r="C11" i="4"/>
  <c r="C12" i="4"/>
  <c r="C13" i="4"/>
  <c r="C14" i="4"/>
  <c r="C15" i="4"/>
  <c r="C16" i="4"/>
  <c r="C7" i="4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N7" i="4" l="1"/>
  <c r="F8" i="4"/>
  <c r="F11" i="4"/>
  <c r="C17" i="4"/>
  <c r="S9" i="4" s="1"/>
  <c r="N9" i="4"/>
  <c r="N11" i="4"/>
  <c r="N15" i="4"/>
  <c r="N13" i="4"/>
  <c r="N16" i="4"/>
  <c r="F7" i="4"/>
  <c r="N10" i="4"/>
  <c r="N14" i="4"/>
  <c r="N8" i="4"/>
  <c r="N12" i="4"/>
  <c r="P17" i="4"/>
  <c r="Q16" i="4"/>
  <c r="P8" i="4"/>
  <c r="K7" i="4"/>
  <c r="K16" i="4"/>
  <c r="P12" i="4"/>
  <c r="K15" i="4"/>
  <c r="P9" i="4"/>
  <c r="P7" i="4"/>
  <c r="F9" i="4"/>
  <c r="S11" i="4"/>
  <c r="F12" i="4"/>
  <c r="F13" i="4"/>
  <c r="Q13" i="4"/>
  <c r="D17" i="4"/>
  <c r="H17" i="4"/>
  <c r="Q15" i="4"/>
  <c r="D19" i="5"/>
  <c r="Q10" i="4" l="1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F17" i="4"/>
  <c r="G16" i="4" s="1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7" i="4" l="1"/>
  <c r="G11" i="4"/>
  <c r="G14" i="4"/>
  <c r="G13" i="4"/>
  <c r="G9" i="4"/>
  <c r="G17" i="4"/>
  <c r="K17" i="4"/>
  <c r="G8" i="4"/>
  <c r="G10" i="4"/>
  <c r="G15" i="4"/>
  <c r="G12" i="4"/>
  <c r="K20" i="3"/>
  <c r="J20" i="3"/>
  <c r="H20" i="3"/>
  <c r="G20" i="3"/>
  <c r="E20" i="3"/>
  <c r="D20" i="3"/>
  <c r="F19" i="3" s="1"/>
  <c r="F10" i="3" l="1"/>
  <c r="F14" i="3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0" i="3"/>
  <c r="I12" i="3"/>
  <c r="I14" i="3"/>
  <c r="I16" i="3"/>
  <c r="L10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6" i="4" l="1"/>
  <c r="L14" i="4"/>
  <c r="L7" i="4"/>
  <c r="L12" i="4"/>
  <c r="L9" i="4"/>
  <c r="L11" i="4"/>
  <c r="L10" i="4"/>
  <c r="L17" i="4"/>
  <c r="L8" i="4"/>
  <c r="L13" i="4"/>
  <c r="L15" i="4"/>
  <c r="D22" i="1" l="1"/>
  <c r="C17" i="2"/>
  <c r="D12" i="2" l="1"/>
  <c r="D7" i="2"/>
  <c r="D21" i="1"/>
  <c r="B19" i="1"/>
  <c r="B20" i="1"/>
  <c r="B18" i="1"/>
  <c r="D9" i="2"/>
  <c r="D14" i="2"/>
  <c r="D10" i="2"/>
  <c r="D11" i="2"/>
  <c r="D16" i="2"/>
  <c r="D13" i="2"/>
  <c r="D15" i="2"/>
  <c r="D8" i="2"/>
  <c r="B21" i="1" l="1"/>
  <c r="T7" i="4"/>
  <c r="T12" i="4"/>
  <c r="T16" i="4"/>
  <c r="T8" i="4"/>
  <c r="T13" i="4"/>
  <c r="T15" i="4"/>
  <c r="T9" i="4"/>
  <c r="T11" i="4"/>
  <c r="T14" i="4"/>
  <c r="T10" i="4"/>
  <c r="B22" i="1"/>
  <c r="D17" i="2"/>
  <c r="U10" i="4" l="1"/>
  <c r="U14" i="4"/>
  <c r="U7" i="4"/>
  <c r="U8" i="4"/>
  <c r="U11" i="4"/>
  <c r="U9" i="4"/>
  <c r="U16" i="4"/>
  <c r="U15" i="4"/>
  <c r="U13" i="4"/>
  <c r="U12" i="4"/>
  <c r="F11" i="5" l="1"/>
  <c r="F11" i="9"/>
  <c r="F16" i="5"/>
  <c r="F16" i="9"/>
  <c r="F15" i="5"/>
  <c r="F15" i="9"/>
  <c r="F13" i="5"/>
  <c r="F13" i="9"/>
  <c r="F12" i="5"/>
  <c r="F12" i="9"/>
  <c r="F17" i="5"/>
  <c r="F17" i="9"/>
  <c r="F10" i="5"/>
  <c r="F10" i="9"/>
  <c r="F14" i="5"/>
  <c r="F14" i="9"/>
  <c r="F18" i="5"/>
  <c r="F18" i="9"/>
  <c r="F9" i="5"/>
  <c r="F9" i="9"/>
  <c r="B9" i="1" l="1"/>
  <c r="E9" i="5" s="1"/>
  <c r="G9" i="5" s="1"/>
  <c r="E11" i="9" l="1"/>
  <c r="G11" i="9" s="1"/>
  <c r="E19" i="5"/>
  <c r="E15" i="5"/>
  <c r="G15" i="5" s="1"/>
  <c r="E15" i="9"/>
  <c r="G15" i="9" s="1"/>
  <c r="E11" i="5"/>
  <c r="G11" i="5" s="1"/>
  <c r="E16" i="9"/>
  <c r="G16" i="9" s="1"/>
  <c r="E12" i="9"/>
  <c r="G12" i="9" s="1"/>
  <c r="E16" i="5"/>
  <c r="G16" i="5" s="1"/>
  <c r="E12" i="5"/>
  <c r="G12" i="5" s="1"/>
  <c r="E18" i="9"/>
  <c r="G18" i="9" s="1"/>
  <c r="E14" i="9"/>
  <c r="G14" i="9" s="1"/>
  <c r="E10" i="9"/>
  <c r="G10" i="9" s="1"/>
  <c r="E18" i="5"/>
  <c r="G18" i="5" s="1"/>
  <c r="E14" i="5"/>
  <c r="G14" i="5" s="1"/>
  <c r="E10" i="5"/>
  <c r="G10" i="5" s="1"/>
  <c r="E17" i="9"/>
  <c r="G17" i="9" s="1"/>
  <c r="E13" i="9"/>
  <c r="G13" i="9" s="1"/>
  <c r="E9" i="9"/>
  <c r="G9" i="9" s="1"/>
  <c r="E17" i="5"/>
  <c r="G17" i="5" s="1"/>
  <c r="E13" i="5"/>
  <c r="G13" i="5" s="1"/>
  <c r="H18" i="9" l="1"/>
  <c r="I18" i="9" s="1"/>
  <c r="L18" i="9" s="1"/>
  <c r="H13" i="5"/>
  <c r="I13" i="5" s="1"/>
  <c r="H13" i="9"/>
  <c r="I13" i="9" s="1"/>
  <c r="L13" i="9" s="1"/>
  <c r="H18" i="5"/>
  <c r="I18" i="5" s="1"/>
  <c r="H15" i="5"/>
  <c r="I15" i="5" s="1"/>
  <c r="H10" i="9"/>
  <c r="I10" i="9" s="1"/>
  <c r="L10" i="9" s="1"/>
  <c r="G19" i="5"/>
  <c r="H14" i="9"/>
  <c r="I14" i="9" s="1"/>
  <c r="L14" i="9" s="1"/>
  <c r="H12" i="9"/>
  <c r="I12" i="9" s="1"/>
  <c r="L12" i="9" s="1"/>
  <c r="H11" i="5"/>
  <c r="I11" i="5" s="1"/>
  <c r="G19" i="9"/>
  <c r="H9" i="9"/>
  <c r="H17" i="9"/>
  <c r="I17" i="9" s="1"/>
  <c r="L17" i="9" s="1"/>
  <c r="H16" i="5"/>
  <c r="I16" i="5" s="1"/>
  <c r="H10" i="5"/>
  <c r="I10" i="5" s="1"/>
  <c r="H11" i="9"/>
  <c r="I11" i="9" s="1"/>
  <c r="L11" i="9" s="1"/>
  <c r="H16" i="9"/>
  <c r="I16" i="9" s="1"/>
  <c r="L16" i="9" s="1"/>
  <c r="H12" i="5"/>
  <c r="I12" i="5" s="1"/>
  <c r="H14" i="5"/>
  <c r="I14" i="5" s="1"/>
  <c r="H17" i="5"/>
  <c r="I17" i="5" s="1"/>
  <c r="H15" i="9"/>
  <c r="I15" i="9" s="1"/>
  <c r="L15" i="9" s="1"/>
  <c r="H9" i="5"/>
  <c r="L23" i="9" l="1"/>
  <c r="I9" i="9"/>
  <c r="H19" i="9"/>
  <c r="H19" i="5"/>
  <c r="I9" i="5"/>
  <c r="I19" i="5" l="1"/>
  <c r="L9" i="9"/>
  <c r="L19" i="9" s="1"/>
  <c r="I19" i="9"/>
</calcChain>
</file>

<file path=xl/sharedStrings.xml><?xml version="1.0" encoding="utf-8"?>
<sst xmlns="http://schemas.openxmlformats.org/spreadsheetml/2006/main" count="162" uniqueCount="94">
  <si>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</si>
  <si>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</si>
  <si>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</si>
  <si>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</si>
  <si>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</si>
  <si>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</si>
  <si>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</si>
  <si>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</si>
  <si>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</si>
  <si>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</si>
  <si>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</si>
  <si>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</si>
  <si>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</si>
  <si>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</si>
  <si>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</si>
  <si>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</si>
  <si>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</si>
  <si>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</si>
  <si>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</si>
  <si>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</si>
  <si>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</si>
  <si>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</si>
  <si>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</si>
  <si>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</si>
  <si>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</si>
  <si>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</si>
  <si>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</si>
  <si>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</si>
  <si>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</si>
  <si>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</si>
  <si>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</si>
  <si>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</si>
  <si>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</si>
  <si>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</si>
  <si>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</si>
  <si>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</si>
  <si>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</si>
  <si>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</si>
  <si>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</si>
  <si>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</si>
  <si>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</si>
  <si>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</si>
  <si>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</si>
  <si>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</si>
  <si>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</si>
  <si>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</si>
  <si>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</si>
  <si>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</si>
  <si>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</si>
  <si>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</si>
  <si>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</si>
  <si>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</si>
  <si>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</si>
  <si>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</si>
  <si>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</si>
  <si>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</si>
  <si>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</si>
  <si>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Протяженность дорог, км на 01.01.2021 года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</si>
  <si>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</si>
  <si>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</si>
  <si>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</si>
  <si>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Численность постоянного населения, чел. На 01.01.2022</t>
  </si>
  <si>
    <t>Численность постоянного населения, на 01.01.2022 года/ чел.</t>
  </si>
  <si>
    <t>Численность постоянного сельского населения, на 01.01.2022 года /чел.</t>
  </si>
  <si>
    <t>Численность постоянного населения, проживающего в населенных пунктах с численностью населения не более 500 чел., на 01.01.2022 года /  чел.</t>
  </si>
  <si>
    <t>Экономически обоснованный тариф на водоснабжение и водоотведение, руб. за куб.м на 2023 год</t>
  </si>
  <si>
    <t>Площадь жилого фонда по состоянию на 01.01.2022 года, тыс.кв.м</t>
  </si>
  <si>
    <t>Экономически обоснованный тариф на электроснабжение, за кВТ.час на 2023 год</t>
  </si>
  <si>
    <t>Налог на доходы физических лиц (прогноз поступлений на 2023 год), тыс.руб.</t>
  </si>
  <si>
    <t>Налог на имущество физических лиц (прогноз поступлений на 2023 год), тыс.руб.</t>
  </si>
  <si>
    <t>Земельный налог (прогноз поступлений на 2023 год), тыс.руб.</t>
  </si>
  <si>
    <t>Налог на доходы физических лиц (форма 5-НДФЛ за 2021 год), руб.</t>
  </si>
  <si>
    <t>Налог на имущество физических лиц (форма 5-МН за 2021 год), тыс.руб.</t>
  </si>
  <si>
    <t>Земельный налог (форма 5-МН за 2021 год), тыс.руб.</t>
  </si>
  <si>
    <t>Прогноз налоговых доходов на 2023 год, тыс.руб.</t>
  </si>
  <si>
    <t>Численность постоянного населения на 01.01.2022 года, чел.</t>
  </si>
  <si>
    <t>Расчет размера второй части дотации на 2023 год (при реальных доходах)</t>
  </si>
  <si>
    <t>2022</t>
  </si>
  <si>
    <t>Параметры распределения районного фонда финансовой поддержки поселений на 2022 год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</si>
  <si>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</si>
  <si>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</si>
  <si>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</si>
  <si>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</si>
  <si>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</si>
  <si>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Экономически обоснованный тариф на теплоснабжение, руб. за Гкал. на 2023 год</t>
  </si>
  <si>
    <t>Параметры распределения районного фонда финансовой поддержки поселений на 2025 год</t>
  </si>
  <si>
    <t>Расчет размера первой части дотации на 2025 год</t>
  </si>
  <si>
    <t>Размер первой части дотации на 2025 год, тыс.руб.</t>
  </si>
  <si>
    <t>Расчет индекса налогового потенциала поселений на 2025 год</t>
  </si>
  <si>
    <t>Расчет индекса бюджетных расходов на 2025 год</t>
  </si>
  <si>
    <t>Расчет размера второй части дотации на 2025 год</t>
  </si>
  <si>
    <t>Прогноз налоговых доходов на 2025 год, тыс.руб.</t>
  </si>
  <si>
    <t>Размер второй части дотации на выравнивание бюджетной обеспеченности на 2025 год, тыс.руб.</t>
  </si>
  <si>
    <t>Размер дотации на выравнивание бюджетной обеспеченности на 2025 год, тыс.руб. (1 часть + 2 часть дотации)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</si>
</sst>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0" fontId="5" fillId="2" borderId="6" xfId="0" applyFont="1" applyFill="1" applyBorder="1"/>
    <xf numFmtId="0" fontId="9" fillId="2" borderId="13" xfId="0" applyFont="1" applyFill="1" applyBorder="1"/>
    <xf numFmtId="0" fontId="9" fillId="2" borderId="0" xfId="0" applyFont="1" applyFill="1" applyBorder="1"/>
    <xf numFmtId="0" fontId="9" fillId="2" borderId="14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10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6" xfId="0" applyNumberFormat="1" applyFont="1" applyFill="1" applyBorder="1"/>
    <xf numFmtId="10" fontId="9" fillId="2" borderId="1" xfId="0" applyNumberFormat="1" applyFont="1" applyFill="1" applyBorder="1"/>
    <xf numFmtId="0" fontId="9" fillId="2" borderId="19" xfId="0" applyFont="1" applyFill="1" applyBorder="1"/>
    <xf numFmtId="0" fontId="9" fillId="2" borderId="20" xfId="0" applyFont="1" applyFill="1" applyBorder="1" applyAlignment="1">
      <alignment wrapText="1"/>
    </xf>
    <xf numFmtId="165" fontId="9" fillId="2" borderId="21" xfId="0" applyNumberFormat="1" applyFont="1" applyFill="1" applyBorder="1"/>
    <xf numFmtId="0" fontId="9" fillId="2" borderId="22" xfId="0" applyFont="1" applyFill="1" applyBorder="1"/>
    <xf numFmtId="164" fontId="9" fillId="2" borderId="23" xfId="0" applyNumberFormat="1" applyFont="1" applyFill="1" applyBorder="1"/>
    <xf numFmtId="0" fontId="9" fillId="2" borderId="24" xfId="0" applyFont="1" applyFill="1" applyBorder="1"/>
    <xf numFmtId="0" fontId="9" fillId="2" borderId="25" xfId="0" applyFont="1" applyFill="1" applyBorder="1"/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/>
    <xf numFmtId="0" fontId="9" fillId="2" borderId="28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10" fontId="5" fillId="2" borderId="17" xfId="0" applyNumberFormat="1" applyFont="1" applyFill="1" applyBorder="1" applyAlignment="1">
      <alignment horizontal="center"/>
    </xf>
    <xf numFmtId="10" fontId="4" fillId="2" borderId="16" xfId="0" applyNumberFormat="1" applyFont="1" applyFill="1" applyBorder="1" applyAlignment="1">
      <alignment horizontal="center" wrapText="1"/>
    </xf>
    <xf numFmtId="168" fontId="10" fillId="2" borderId="16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>
        <row r="6">
          <cell r="B6">
            <v>226858.99999999997</v>
          </cell>
        </row>
      </sheetData>
      <sheetData sheetId="1">
        <row r="7">
          <cell r="C7">
            <v>11104</v>
          </cell>
        </row>
      </sheetData>
      <sheetData sheetId="2" refreshError="1"/>
      <sheetData sheetId="3">
        <row r="7">
          <cell r="G7">
            <v>0.93024671165242789</v>
          </cell>
        </row>
      </sheetData>
      <sheetData sheetId="4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view="pageBreakPreview" zoomScale="60" zoomScaleNormal="75" workbookViewId="0">
      <selection activeCell="B5" sqref="B5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7" width="21" style="6" customWidth="1"/>
    <col min="8" max="8" width="15.85546875" style="6" customWidth="1"/>
    <col min="9" max="9" width="22.140625" style="6" customWidth="1"/>
    <col min="10" max="10" width="18" style="6" customWidth="1"/>
    <col min="11" max="12" width="22.28515625" style="6" customWidth="1"/>
    <col min="13" max="13" width="20.5703125" style="6" customWidth="1"/>
    <col min="14" max="16384" width="9.140625" style="6"/>
  </cols>
  <sheetData>
    <row r="1" spans="1:15" ht="18.75" thickBot="1" x14ac:dyDescent="0.3"/>
    <row r="2" spans="1:15" ht="66" customHeight="1" x14ac:dyDescent="0.35">
      <c r="A2" s="130" t="s">
        <v>85</v>
      </c>
      <c r="B2" s="131"/>
      <c r="C2" s="131"/>
      <c r="D2" s="132"/>
      <c r="E2" s="133" t="s">
        <v>78</v>
      </c>
    </row>
    <row r="3" spans="1:15" ht="20.25" x14ac:dyDescent="0.3">
      <c r="A3" s="88"/>
      <c r="B3" s="89"/>
      <c r="C3" s="89"/>
      <c r="D3" s="90"/>
      <c r="E3" s="134"/>
      <c r="G3" s="20"/>
      <c r="H3" s="20"/>
      <c r="I3" s="20"/>
      <c r="J3" s="20"/>
      <c r="K3" s="20"/>
      <c r="L3" s="20"/>
      <c r="M3" s="20"/>
    </row>
    <row r="4" spans="1:15" ht="81" x14ac:dyDescent="0.3">
      <c r="A4" s="94" t="s">
        <v>43</v>
      </c>
      <c r="B4" s="86">
        <f>B5+B6+B7</f>
        <v>292551.7</v>
      </c>
      <c r="C4" s="89"/>
      <c r="D4" s="120"/>
      <c r="E4" s="87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9.75" customHeight="1" x14ac:dyDescent="0.3">
      <c r="A5" s="95" t="s">
        <v>79</v>
      </c>
      <c r="B5" s="85">
        <f>68248.2-731.2</f>
        <v>67517</v>
      </c>
      <c r="C5" s="89"/>
      <c r="D5" s="118"/>
      <c r="E5" s="87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54.75" customHeight="1" x14ac:dyDescent="0.3">
      <c r="A6" s="95" t="s">
        <v>80</v>
      </c>
      <c r="B6" s="85">
        <v>125617.9</v>
      </c>
      <c r="C6" s="89"/>
      <c r="D6" s="118"/>
      <c r="E6" s="87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3.75" customHeight="1" x14ac:dyDescent="0.3">
      <c r="A7" s="95" t="s">
        <v>81</v>
      </c>
      <c r="B7" s="85">
        <v>99416.8</v>
      </c>
      <c r="C7" s="89"/>
      <c r="D7" s="118"/>
      <c r="E7" s="87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93.75" customHeight="1" x14ac:dyDescent="0.3">
      <c r="A8" s="94" t="s">
        <v>44</v>
      </c>
      <c r="B8" s="85">
        <f>B5</f>
        <v>67517</v>
      </c>
      <c r="C8" s="89"/>
      <c r="D8" s="119"/>
      <c r="E8" s="87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81" x14ac:dyDescent="0.3">
      <c r="A9" s="94" t="s">
        <v>45</v>
      </c>
      <c r="B9" s="85">
        <f>B4-B8</f>
        <v>225034.7</v>
      </c>
      <c r="C9" s="89"/>
      <c r="D9" s="119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67.5" customHeight="1" x14ac:dyDescent="0.35">
      <c r="A10" s="121" t="s">
        <v>83</v>
      </c>
      <c r="B10" s="122">
        <v>901288.6</v>
      </c>
      <c r="C10" s="123"/>
      <c r="D10" s="125"/>
      <c r="E10" s="124"/>
    </row>
    <row r="11" spans="1:15" ht="109.5" customHeight="1" x14ac:dyDescent="0.25">
      <c r="A11" s="126" t="s">
        <v>20</v>
      </c>
      <c r="B11" s="127"/>
      <c r="C11" s="96"/>
      <c r="D11" s="97" t="s">
        <v>82</v>
      </c>
      <c r="E11" s="91"/>
    </row>
    <row r="12" spans="1:15" ht="199.5" customHeight="1" x14ac:dyDescent="0.3">
      <c r="A12" s="98" t="s">
        <v>46</v>
      </c>
      <c r="B12" s="99">
        <f>D12/D14</f>
        <v>0.36909665305474115</v>
      </c>
      <c r="C12" s="89"/>
      <c r="D12" s="100">
        <v>262518.49300000002</v>
      </c>
      <c r="E12" s="87"/>
    </row>
    <row r="13" spans="1:15" ht="121.5" x14ac:dyDescent="0.3">
      <c r="A13" s="98" t="s">
        <v>50</v>
      </c>
      <c r="B13" s="99">
        <f>D13/D14</f>
        <v>4.9364758967788365E-2</v>
      </c>
      <c r="C13" s="89"/>
      <c r="D13" s="100">
        <v>35110.483999999997</v>
      </c>
      <c r="E13" s="87"/>
    </row>
    <row r="14" spans="1:15" ht="35.25" customHeight="1" x14ac:dyDescent="0.3">
      <c r="A14" s="98" t="s">
        <v>42</v>
      </c>
      <c r="B14" s="101"/>
      <c r="C14" s="89"/>
      <c r="D14" s="100">
        <v>711245.93200000003</v>
      </c>
      <c r="E14" s="87"/>
    </row>
    <row r="15" spans="1:15" ht="20.25" x14ac:dyDescent="0.3">
      <c r="A15" s="88"/>
      <c r="B15" s="89"/>
      <c r="C15" s="89"/>
      <c r="D15" s="102"/>
      <c r="E15" s="92"/>
    </row>
    <row r="16" spans="1:15" ht="21" thickBot="1" x14ac:dyDescent="0.35">
      <c r="A16" s="107"/>
      <c r="B16" s="105"/>
      <c r="C16" s="105"/>
      <c r="D16" s="108"/>
      <c r="E16" s="93"/>
    </row>
    <row r="17" spans="1:5" ht="76.5" customHeight="1" x14ac:dyDescent="0.3">
      <c r="A17" s="128" t="s">
        <v>19</v>
      </c>
      <c r="B17" s="129"/>
      <c r="C17" s="110"/>
      <c r="D17" s="111" t="s">
        <v>19</v>
      </c>
      <c r="E17" s="109"/>
    </row>
    <row r="18" spans="1:5" ht="81" x14ac:dyDescent="0.3">
      <c r="A18" s="98" t="s">
        <v>47</v>
      </c>
      <c r="B18" s="99">
        <f>D18/D22</f>
        <v>0.1593312030359704</v>
      </c>
      <c r="C18" s="89"/>
      <c r="D18" s="100">
        <v>113323.67</v>
      </c>
      <c r="E18" s="87"/>
    </row>
    <row r="19" spans="1:5" ht="60.75" x14ac:dyDescent="0.3">
      <c r="A19" s="98" t="s">
        <v>48</v>
      </c>
      <c r="B19" s="99">
        <f>D19/D22</f>
        <v>8.8318607072187787E-3</v>
      </c>
      <c r="C19" s="89"/>
      <c r="D19" s="100">
        <v>6281.625</v>
      </c>
    </row>
    <row r="20" spans="1:5" ht="20.25" x14ac:dyDescent="0.3">
      <c r="A20" s="98" t="s">
        <v>30</v>
      </c>
      <c r="B20" s="99">
        <f>D20/D22</f>
        <v>0.11699545579966845</v>
      </c>
      <c r="C20" s="89"/>
      <c r="D20" s="100">
        <v>83212.542000000001</v>
      </c>
    </row>
    <row r="21" spans="1:5" ht="40.5" x14ac:dyDescent="0.3">
      <c r="A21" s="98" t="s">
        <v>49</v>
      </c>
      <c r="B21" s="99">
        <f>D21/D22</f>
        <v>0.71484148045714224</v>
      </c>
      <c r="C21" s="89"/>
      <c r="D21" s="100">
        <f>D22-D18-D19-D20</f>
        <v>508428.09499999997</v>
      </c>
    </row>
    <row r="22" spans="1:5" ht="21" thickBot="1" x14ac:dyDescent="0.35">
      <c r="A22" s="103" t="s">
        <v>15</v>
      </c>
      <c r="B22" s="104">
        <f>B18+B19+B20+B21</f>
        <v>0.99999999999999989</v>
      </c>
      <c r="C22" s="105"/>
      <c r="D22" s="106">
        <f>D14</f>
        <v>711245.93200000003</v>
      </c>
    </row>
  </sheetData>
  <customSheetViews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E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tabSelected="1" workbookViewId="0">
      <selection activeCell="D23" sqref="D23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39" t="s">
        <v>86</v>
      </c>
      <c r="B2" s="139"/>
      <c r="C2" s="139"/>
      <c r="D2" s="139"/>
    </row>
    <row r="3" spans="1:9" x14ac:dyDescent="0.2">
      <c r="A3" s="139"/>
      <c r="B3" s="139"/>
      <c r="C3" s="139"/>
      <c r="D3" s="139"/>
    </row>
    <row r="4" spans="1:9" ht="18" x14ac:dyDescent="0.25">
      <c r="A4" s="6"/>
      <c r="B4" s="6"/>
      <c r="C4" s="6"/>
      <c r="D4" s="6"/>
    </row>
    <row r="5" spans="1:9" ht="12.75" customHeight="1" x14ac:dyDescent="0.2">
      <c r="A5" s="140" t="s">
        <v>0</v>
      </c>
      <c r="B5" s="137" t="s">
        <v>14</v>
      </c>
      <c r="C5" s="142" t="s">
        <v>61</v>
      </c>
      <c r="D5" s="137" t="s">
        <v>87</v>
      </c>
      <c r="E5" s="2"/>
      <c r="F5" s="2"/>
      <c r="G5" s="2"/>
      <c r="H5" s="2"/>
      <c r="I5" s="2"/>
    </row>
    <row r="6" spans="1:9" ht="74.25" customHeight="1" x14ac:dyDescent="0.2">
      <c r="A6" s="141"/>
      <c r="B6" s="138"/>
      <c r="C6" s="143"/>
      <c r="D6" s="138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11095</v>
      </c>
      <c r="D7" s="22">
        <f>параметры!$B$8*'1 часть дотации'!C7/'1 часть дотации'!$C$17</f>
        <v>24694.284325037086</v>
      </c>
      <c r="E7" s="3"/>
    </row>
    <row r="8" spans="1:9" ht="18" x14ac:dyDescent="0.25">
      <c r="A8" s="25">
        <v>2</v>
      </c>
      <c r="B8" s="25" t="s">
        <v>2</v>
      </c>
      <c r="C8" s="62">
        <v>2747</v>
      </c>
      <c r="D8" s="22">
        <f>параметры!$B$8*'1 часть дотации'!C8/'1 часть дотации'!$C$17</f>
        <v>6114.0332619086867</v>
      </c>
      <c r="E8" s="3"/>
    </row>
    <row r="9" spans="1:9" ht="18" customHeight="1" x14ac:dyDescent="0.25">
      <c r="A9" s="25">
        <v>3</v>
      </c>
      <c r="B9" s="25" t="s">
        <v>3</v>
      </c>
      <c r="C9" s="62">
        <v>1384</v>
      </c>
      <c r="D9" s="22">
        <f>параметры!$B$8*'1 часть дотации'!C9/'1 часть дотации'!$C$17</f>
        <v>3080.3866161199935</v>
      </c>
      <c r="E9" s="3"/>
    </row>
    <row r="10" spans="1:9" ht="18" x14ac:dyDescent="0.25">
      <c r="A10" s="25">
        <v>4</v>
      </c>
      <c r="B10" s="25" t="s">
        <v>4</v>
      </c>
      <c r="C10" s="62">
        <v>2586</v>
      </c>
      <c r="D10" s="22">
        <f>параметры!$B$8*'1 часть дотации'!C10/'1 часть дотации'!$C$17</f>
        <v>5755.6934893687157</v>
      </c>
      <c r="E10" s="3"/>
    </row>
    <row r="11" spans="1:9" ht="18" customHeight="1" x14ac:dyDescent="0.25">
      <c r="A11" s="25">
        <v>5</v>
      </c>
      <c r="B11" s="25" t="s">
        <v>5</v>
      </c>
      <c r="C11" s="62">
        <v>4363</v>
      </c>
      <c r="D11" s="22">
        <f>параметры!$B$8*'1 часть дотации'!C11/'1 часть дотации'!$C$17</f>
        <v>9710.7852645459043</v>
      </c>
      <c r="E11" s="3"/>
    </row>
    <row r="12" spans="1:9" ht="18" x14ac:dyDescent="0.25">
      <c r="A12" s="25">
        <v>6</v>
      </c>
      <c r="B12" s="25" t="s">
        <v>6</v>
      </c>
      <c r="C12" s="62">
        <v>2351</v>
      </c>
      <c r="D12" s="22">
        <f>параметры!$B$8*'1 часть дотации'!C12/'1 часть дотации'!$C$17</f>
        <v>5232.6509642327346</v>
      </c>
      <c r="E12" s="3"/>
    </row>
    <row r="13" spans="1:9" ht="18" customHeight="1" x14ac:dyDescent="0.25">
      <c r="A13" s="25">
        <v>7</v>
      </c>
      <c r="B13" s="25" t="s">
        <v>7</v>
      </c>
      <c r="C13" s="62">
        <v>2156</v>
      </c>
      <c r="D13" s="22">
        <f>параметры!$B$8*'1 часть дотации'!C13/'1 часть дотации'!$C$17</f>
        <v>4798.6369540135156</v>
      </c>
      <c r="E13" s="3"/>
    </row>
    <row r="14" spans="1:9" ht="18" x14ac:dyDescent="0.25">
      <c r="A14" s="25">
        <v>8</v>
      </c>
      <c r="B14" s="25" t="s">
        <v>8</v>
      </c>
      <c r="C14" s="62">
        <v>1101</v>
      </c>
      <c r="D14" s="22">
        <f>параметры!$B$8*'1 часть дотации'!C14/'1 часть дотации'!$C$17</f>
        <v>2450.5098730838963</v>
      </c>
      <c r="E14" s="3"/>
    </row>
    <row r="15" spans="1:9" ht="18" customHeight="1" x14ac:dyDescent="0.25">
      <c r="A15" s="25">
        <v>9</v>
      </c>
      <c r="B15" s="25" t="s">
        <v>9</v>
      </c>
      <c r="C15" s="62">
        <v>590</v>
      </c>
      <c r="D15" s="22">
        <f>параметры!$B$8*'1 часть дотации'!C15/'1 часть дотации'!$C$17</f>
        <v>1313.1705950222515</v>
      </c>
      <c r="E15" s="3"/>
    </row>
    <row r="16" spans="1:9" ht="18" x14ac:dyDescent="0.25">
      <c r="A16" s="25">
        <v>10</v>
      </c>
      <c r="B16" s="25" t="s">
        <v>10</v>
      </c>
      <c r="C16" s="62">
        <v>1962</v>
      </c>
      <c r="D16" s="22">
        <f>параметры!$B$8*'1 часть дотации'!C16/'1 часть дотации'!$C$17</f>
        <v>4366.8486566672163</v>
      </c>
      <c r="E16" s="3"/>
    </row>
    <row r="17" spans="1:5" ht="18" x14ac:dyDescent="0.25">
      <c r="A17" s="135" t="s">
        <v>11</v>
      </c>
      <c r="B17" s="136"/>
      <c r="C17" s="58">
        <f>C7+C8+C9+C10+C11+C12+C13+C14+C15+C16</f>
        <v>30335</v>
      </c>
      <c r="D17" s="13">
        <f>D7+D8+D9+D10+D11+D12+D13+D14+D15+D16</f>
        <v>67517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/>
      <c r="B20" s="6"/>
      <c r="C20" s="6"/>
      <c r="D20" s="6"/>
    </row>
    <row r="21" spans="1:5" ht="18" customHeight="1" x14ac:dyDescent="0.25">
      <c r="A21" s="6"/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302671BE-4EBD-4277-AB7D-2E6FD69B3D87}">
      <selection activeCell="E5" sqref="E5:E6"/>
      <pageMargins left="0.36" right="0.26" top="1" bottom="1" header="0.5" footer="0.5"/>
      <pageSetup paperSize="9" orientation="portrait" r:id="rId1"/>
      <headerFooter alignWithMargins="0"/>
    </customSheetView>
    <customSheetView guid="{CE336351-7BD3-4872-92F0-8965CF315520}">
      <selection activeCell="A22" sqref="A22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48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49" t="s">
        <v>0</v>
      </c>
      <c r="B7" s="152" t="s">
        <v>14</v>
      </c>
      <c r="C7" s="149" t="s">
        <v>16</v>
      </c>
      <c r="D7" s="147" t="s">
        <v>71</v>
      </c>
      <c r="E7" s="147" t="s">
        <v>68</v>
      </c>
      <c r="F7" s="149" t="s">
        <v>36</v>
      </c>
      <c r="G7" s="147" t="s">
        <v>72</v>
      </c>
      <c r="H7" s="147" t="s">
        <v>69</v>
      </c>
      <c r="I7" s="149" t="s">
        <v>37</v>
      </c>
      <c r="J7" s="147" t="s">
        <v>73</v>
      </c>
      <c r="K7" s="147" t="s">
        <v>70</v>
      </c>
      <c r="L7" s="149" t="s">
        <v>38</v>
      </c>
      <c r="M7" s="149" t="s">
        <v>39</v>
      </c>
      <c r="N7" s="149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50"/>
      <c r="B8" s="153"/>
      <c r="C8" s="150"/>
      <c r="D8" s="147"/>
      <c r="E8" s="147"/>
      <c r="F8" s="150"/>
      <c r="G8" s="147"/>
      <c r="H8" s="147"/>
      <c r="I8" s="150"/>
      <c r="J8" s="147"/>
      <c r="K8" s="147"/>
      <c r="L8" s="150"/>
      <c r="M8" s="150"/>
      <c r="N8" s="150"/>
      <c r="O8" s="2"/>
      <c r="P8" s="2"/>
      <c r="Q8" s="2"/>
      <c r="R8" s="2"/>
      <c r="S8" s="2"/>
      <c r="T8" s="2"/>
      <c r="U8" s="2"/>
    </row>
    <row r="9" spans="1:21" ht="29.25" customHeight="1" x14ac:dyDescent="0.2">
      <c r="A9" s="151"/>
      <c r="B9" s="154"/>
      <c r="C9" s="151"/>
      <c r="D9" s="74" t="s">
        <v>35</v>
      </c>
      <c r="E9" s="74" t="s">
        <v>34</v>
      </c>
      <c r="F9" s="155"/>
      <c r="G9" s="74" t="s">
        <v>35</v>
      </c>
      <c r="H9" s="74" t="s">
        <v>35</v>
      </c>
      <c r="I9" s="155"/>
      <c r="J9" s="74" t="s">
        <v>35</v>
      </c>
      <c r="K9" s="74" t="s">
        <v>35</v>
      </c>
      <c r="L9" s="155"/>
      <c r="M9" s="151"/>
      <c r="N9" s="155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2">
        <v>11095</v>
      </c>
      <c r="D10" s="85">
        <v>434188772</v>
      </c>
      <c r="E10" s="85">
        <v>41163.9</v>
      </c>
      <c r="F10" s="85">
        <f>($E$10/0.1+$E$11/0.1+$E$12/0.1+$E$13/0.1+$E$14/0.1+$E$15/0.1+$E$16/0.1+$E$17/0.1+$E$18/0.1+$E$19/0.1)*0.1*(D10/$D$20)</f>
        <v>35154.547969523293</v>
      </c>
      <c r="G10" s="85">
        <v>3602</v>
      </c>
      <c r="H10" s="85">
        <v>3000</v>
      </c>
      <c r="I10" s="85">
        <f>$H$20*1*(G10/$G$20)</f>
        <v>3047.0731556106634</v>
      </c>
      <c r="J10" s="85">
        <v>27108</v>
      </c>
      <c r="K10" s="85">
        <v>7661.9</v>
      </c>
      <c r="L10" s="85">
        <f>$K$20*1*(J10/$J$20)</f>
        <v>8641.6423694165751</v>
      </c>
      <c r="M10" s="85">
        <f>F10+I10+L10</f>
        <v>46843.263494550527</v>
      </c>
      <c r="N10" s="113">
        <f>(M10/C10)/($M$20/$C$20)</f>
        <v>1.3117946884306926</v>
      </c>
    </row>
    <row r="11" spans="1:21" ht="20.25" x14ac:dyDescent="0.3">
      <c r="A11" s="29">
        <v>2</v>
      </c>
      <c r="B11" s="56" t="s">
        <v>2</v>
      </c>
      <c r="C11" s="112">
        <v>2747</v>
      </c>
      <c r="D11" s="85">
        <v>86373170</v>
      </c>
      <c r="E11" s="85">
        <v>5513.7</v>
      </c>
      <c r="F11" s="85">
        <f t="shared" ref="F11:F19" si="0">($E$10/0.1+$E$11/0.1+$E$12/0.1+$E$13/0.1+$E$14/0.1+$E$15/0.1+$E$16/0.1+$E$17/0.1+$E$18/0.1+$E$19/0.1)*0.1*(D11/$D$20)</f>
        <v>6993.2940321284732</v>
      </c>
      <c r="G11" s="85">
        <v>370</v>
      </c>
      <c r="H11" s="85">
        <v>310</v>
      </c>
      <c r="I11" s="85">
        <f t="shared" ref="I11:I18" si="1">$H$20*1*(G11/$G$20)</f>
        <v>312.99752014879107</v>
      </c>
      <c r="J11" s="85">
        <v>1765</v>
      </c>
      <c r="K11" s="85">
        <v>840</v>
      </c>
      <c r="L11" s="85">
        <f t="shared" ref="L11:L19" si="2">$K$20*1*(J11/$J$20)</f>
        <v>562.65673535562394</v>
      </c>
      <c r="M11" s="85">
        <f t="shared" ref="M11:M19" si="3">F11+I11+L11</f>
        <v>7868.9482876328884</v>
      </c>
      <c r="N11" s="113">
        <f t="shared" ref="N11:N20" si="4">(M11/C11)/($M$20/$C$20)</f>
        <v>0.89002880501307757</v>
      </c>
    </row>
    <row r="12" spans="1:21" ht="20.25" x14ac:dyDescent="0.3">
      <c r="A12" s="29">
        <v>3</v>
      </c>
      <c r="B12" s="56" t="s">
        <v>3</v>
      </c>
      <c r="C12" s="112">
        <v>1384</v>
      </c>
      <c r="D12" s="85">
        <v>25219489</v>
      </c>
      <c r="E12" s="85">
        <v>2474.1</v>
      </c>
      <c r="F12" s="85">
        <f t="shared" si="0"/>
        <v>2041.9222996797464</v>
      </c>
      <c r="G12" s="85">
        <v>98</v>
      </c>
      <c r="H12" s="85">
        <v>230</v>
      </c>
      <c r="I12" s="85">
        <f t="shared" si="1"/>
        <v>82.90204587724736</v>
      </c>
      <c r="J12" s="85">
        <v>4121</v>
      </c>
      <c r="K12" s="85">
        <v>690</v>
      </c>
      <c r="L12" s="85">
        <f t="shared" si="2"/>
        <v>1313.7158109917998</v>
      </c>
      <c r="M12" s="85">
        <f t="shared" si="3"/>
        <v>3438.5401565487937</v>
      </c>
      <c r="N12" s="113">
        <f t="shared" si="4"/>
        <v>0.77194088066746525</v>
      </c>
    </row>
    <row r="13" spans="1:21" ht="20.25" x14ac:dyDescent="0.3">
      <c r="A13" s="29">
        <v>4</v>
      </c>
      <c r="B13" s="56" t="s">
        <v>4</v>
      </c>
      <c r="C13" s="112">
        <v>2586</v>
      </c>
      <c r="D13" s="85">
        <v>43124455</v>
      </c>
      <c r="E13" s="85">
        <v>3881.6</v>
      </c>
      <c r="F13" s="85">
        <f t="shared" si="0"/>
        <v>3491.6165956429859</v>
      </c>
      <c r="G13" s="85">
        <v>271</v>
      </c>
      <c r="H13" s="85">
        <v>202</v>
      </c>
      <c r="I13" s="85">
        <f t="shared" si="1"/>
        <v>229.2495350278983</v>
      </c>
      <c r="J13" s="85">
        <v>1804</v>
      </c>
      <c r="K13" s="85">
        <v>700</v>
      </c>
      <c r="L13" s="85">
        <f t="shared" si="2"/>
        <v>575.08937710002579</v>
      </c>
      <c r="M13" s="85">
        <f t="shared" si="3"/>
        <v>4295.9555077709101</v>
      </c>
      <c r="N13" s="113">
        <f t="shared" si="4"/>
        <v>0.51615160824944883</v>
      </c>
    </row>
    <row r="14" spans="1:21" ht="20.25" x14ac:dyDescent="0.3">
      <c r="A14" s="29">
        <v>5</v>
      </c>
      <c r="B14" s="56" t="s">
        <v>5</v>
      </c>
      <c r="C14" s="112">
        <v>4363</v>
      </c>
      <c r="D14" s="85">
        <v>70534253</v>
      </c>
      <c r="E14" s="85">
        <v>5618.6</v>
      </c>
      <c r="F14" s="85">
        <f t="shared" si="0"/>
        <v>5710.8795539811708</v>
      </c>
      <c r="G14" s="85">
        <v>601</v>
      </c>
      <c r="H14" s="85">
        <v>677</v>
      </c>
      <c r="I14" s="85">
        <f t="shared" si="1"/>
        <v>508.4094854308741</v>
      </c>
      <c r="J14" s="85">
        <v>4839</v>
      </c>
      <c r="K14" s="85">
        <v>2668.3</v>
      </c>
      <c r="L14" s="85">
        <f t="shared" si="2"/>
        <v>1542.6039333630961</v>
      </c>
      <c r="M14" s="85">
        <f t="shared" si="3"/>
        <v>7761.8929727751411</v>
      </c>
      <c r="N14" s="113">
        <f t="shared" si="4"/>
        <v>0.55274963904473184</v>
      </c>
    </row>
    <row r="15" spans="1:21" ht="20.25" x14ac:dyDescent="0.3">
      <c r="A15" s="29">
        <v>6</v>
      </c>
      <c r="B15" s="56" t="s">
        <v>6</v>
      </c>
      <c r="C15" s="112">
        <v>2351</v>
      </c>
      <c r="D15" s="85">
        <v>52250024</v>
      </c>
      <c r="E15" s="85">
        <v>4500</v>
      </c>
      <c r="F15" s="85">
        <f>($E$10/0.1+$E$11/0.1+$E$12/0.1+$E$13/0.1+$E$14/0.1+$E$15/0.1+$E$16/0.1+$E$17/0.1+$E$18/0.1+$E$19/0.1)*0.1*(D15/$D$20)</f>
        <v>4230.4778326159558</v>
      </c>
      <c r="G15" s="85">
        <v>477</v>
      </c>
      <c r="H15" s="85">
        <v>331</v>
      </c>
      <c r="I15" s="85">
        <f t="shared" si="1"/>
        <v>403.51301921884686</v>
      </c>
      <c r="J15" s="85">
        <v>1008</v>
      </c>
      <c r="K15" s="85">
        <v>490</v>
      </c>
      <c r="L15" s="85">
        <f t="shared" si="2"/>
        <v>321.33597123992581</v>
      </c>
      <c r="M15" s="85">
        <f>F15+I15+L15</f>
        <v>4955.326823074729</v>
      </c>
      <c r="N15" s="113">
        <f>(M15/C15)/($M$20/$C$20)</f>
        <v>0.65488599752865695</v>
      </c>
    </row>
    <row r="16" spans="1:21" ht="20.25" x14ac:dyDescent="0.3">
      <c r="A16" s="29">
        <v>7</v>
      </c>
      <c r="B16" s="56" t="s">
        <v>7</v>
      </c>
      <c r="C16" s="112">
        <v>2156</v>
      </c>
      <c r="D16" s="85">
        <v>93929820</v>
      </c>
      <c r="E16" s="85">
        <v>4387.5</v>
      </c>
      <c r="F16" s="85">
        <f t="shared" si="0"/>
        <v>7605.1261015996242</v>
      </c>
      <c r="G16" s="85">
        <v>375</v>
      </c>
      <c r="H16" s="85">
        <v>230</v>
      </c>
      <c r="I16" s="85">
        <f t="shared" si="1"/>
        <v>317.227216367018</v>
      </c>
      <c r="J16" s="85">
        <v>939</v>
      </c>
      <c r="K16" s="85">
        <v>215</v>
      </c>
      <c r="L16" s="85">
        <f t="shared" si="2"/>
        <v>299.33975892290704</v>
      </c>
      <c r="M16" s="85">
        <f t="shared" si="3"/>
        <v>8221.693076889549</v>
      </c>
      <c r="N16" s="113">
        <f t="shared" si="4"/>
        <v>1.1848367991651954</v>
      </c>
    </row>
    <row r="17" spans="1:14" ht="20.25" x14ac:dyDescent="0.3">
      <c r="A17" s="29">
        <v>8</v>
      </c>
      <c r="B17" s="56" t="s">
        <v>8</v>
      </c>
      <c r="C17" s="112">
        <v>1101</v>
      </c>
      <c r="D17" s="85">
        <v>38333329</v>
      </c>
      <c r="E17" s="85">
        <v>1292</v>
      </c>
      <c r="F17" s="85">
        <f t="shared" si="0"/>
        <v>3103.6980688252766</v>
      </c>
      <c r="G17" s="85">
        <v>164</v>
      </c>
      <c r="H17" s="85">
        <v>125</v>
      </c>
      <c r="I17" s="85">
        <f t="shared" si="1"/>
        <v>138.73403595784254</v>
      </c>
      <c r="J17" s="85">
        <v>261</v>
      </c>
      <c r="K17" s="85">
        <v>68</v>
      </c>
      <c r="L17" s="85">
        <f t="shared" si="2"/>
        <v>83.203063981766491</v>
      </c>
      <c r="M17" s="85">
        <f t="shared" si="3"/>
        <v>3325.6351687648857</v>
      </c>
      <c r="N17" s="113">
        <f t="shared" si="4"/>
        <v>0.93849792302807289</v>
      </c>
    </row>
    <row r="18" spans="1:14" ht="20.25" x14ac:dyDescent="0.3">
      <c r="A18" s="29">
        <v>9</v>
      </c>
      <c r="B18" s="56" t="s">
        <v>9</v>
      </c>
      <c r="C18" s="112">
        <v>590</v>
      </c>
      <c r="D18" s="85">
        <v>16099551</v>
      </c>
      <c r="E18" s="85">
        <v>921.7</v>
      </c>
      <c r="F18" s="85">
        <f t="shared" si="0"/>
        <v>1303.5169825102864</v>
      </c>
      <c r="G18" s="85">
        <v>72</v>
      </c>
      <c r="H18" s="85">
        <v>50</v>
      </c>
      <c r="I18" s="85">
        <f t="shared" si="1"/>
        <v>60.90762554246745</v>
      </c>
      <c r="J18" s="85">
        <v>50</v>
      </c>
      <c r="K18" s="85">
        <v>43</v>
      </c>
      <c r="L18" s="85">
        <f t="shared" si="2"/>
        <v>15.939284287694731</v>
      </c>
      <c r="M18" s="85">
        <f t="shared" si="3"/>
        <v>1380.3638923404487</v>
      </c>
      <c r="N18" s="113">
        <f t="shared" si="4"/>
        <v>0.72692165956345622</v>
      </c>
    </row>
    <row r="19" spans="1:14" ht="20.25" x14ac:dyDescent="0.3">
      <c r="A19" s="29">
        <v>10</v>
      </c>
      <c r="B19" s="56" t="s">
        <v>10</v>
      </c>
      <c r="C19" s="112">
        <v>1962</v>
      </c>
      <c r="D19" s="85">
        <v>110824488</v>
      </c>
      <c r="E19" s="85">
        <v>8855</v>
      </c>
      <c r="F19" s="85">
        <f t="shared" si="0"/>
        <v>8973.0205634931954</v>
      </c>
      <c r="G19" s="85">
        <v>422</v>
      </c>
      <c r="H19" s="85">
        <v>303</v>
      </c>
      <c r="I19" s="85">
        <f>$H$20*1*(G19/$G$20)</f>
        <v>356.98636081835087</v>
      </c>
      <c r="J19" s="85">
        <v>664</v>
      </c>
      <c r="K19" s="85">
        <v>191</v>
      </c>
      <c r="L19" s="85">
        <f t="shared" si="2"/>
        <v>211.67369534058602</v>
      </c>
      <c r="M19" s="85">
        <f t="shared" si="3"/>
        <v>9541.680619652132</v>
      </c>
      <c r="N19" s="113">
        <f t="shared" si="4"/>
        <v>1.511025881740645</v>
      </c>
    </row>
    <row r="20" spans="1:14" ht="18" x14ac:dyDescent="0.25">
      <c r="A20" s="30"/>
      <c r="B20" s="57" t="s">
        <v>11</v>
      </c>
      <c r="C20" s="114">
        <f t="shared" ref="C20:M20" si="5">C10+C11+C12+C13+C14+C15+C16+C17+C18+C19</f>
        <v>30335</v>
      </c>
      <c r="D20" s="81">
        <f t="shared" si="5"/>
        <v>970877351</v>
      </c>
      <c r="E20" s="81">
        <f t="shared" si="5"/>
        <v>78608.099999999991</v>
      </c>
      <c r="F20" s="81">
        <f t="shared" si="5"/>
        <v>78608.100000000006</v>
      </c>
      <c r="G20" s="81">
        <f t="shared" si="5"/>
        <v>6452</v>
      </c>
      <c r="H20" s="81">
        <f t="shared" si="5"/>
        <v>5458</v>
      </c>
      <c r="I20" s="81">
        <f t="shared" si="5"/>
        <v>5457.9999999999991</v>
      </c>
      <c r="J20" s="81">
        <f t="shared" si="5"/>
        <v>42559</v>
      </c>
      <c r="K20" s="81">
        <f t="shared" si="5"/>
        <v>13567.2</v>
      </c>
      <c r="L20" s="81">
        <f t="shared" si="5"/>
        <v>13567.199999999999</v>
      </c>
      <c r="M20" s="81">
        <f t="shared" si="5"/>
        <v>97633.300000000017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44" t="s">
        <v>32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45"/>
      <c r="L27" s="145"/>
      <c r="M27" s="145"/>
    </row>
    <row r="28" spans="1:14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5"/>
      <c r="K28" s="145"/>
      <c r="L28" s="145"/>
      <c r="M28" s="145"/>
    </row>
    <row r="29" spans="1:14" ht="24" customHeight="1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5"/>
      <c r="K29" s="145"/>
      <c r="L29" s="145"/>
      <c r="M29" s="145"/>
    </row>
    <row r="30" spans="1:14" x14ac:dyDescent="0.2">
      <c r="A30" s="144" t="s">
        <v>33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45"/>
      <c r="L30" s="145"/>
      <c r="M30" s="145"/>
    </row>
    <row r="31" spans="1:14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5"/>
      <c r="K31" s="145"/>
      <c r="L31" s="145"/>
      <c r="M31" s="145"/>
    </row>
    <row r="32" spans="1:14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5"/>
      <c r="K32" s="145"/>
      <c r="L32" s="145"/>
      <c r="M32" s="145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46" t="s">
        <v>12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15" customHeight="1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</sheetData>
  <customSheetViews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  <mergeCell ref="A27:M29"/>
    <mergeCell ref="A30:M32"/>
    <mergeCell ref="A34:M36"/>
    <mergeCell ref="K7:K8"/>
    <mergeCell ref="D7:D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38"/>
  <sheetViews>
    <sheetView topLeftCell="A10" zoomScale="80" zoomScaleNormal="80" workbookViewId="0">
      <selection activeCell="A19" sqref="A19:XFD31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56" t="s">
        <v>89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8"/>
      <c r="S2" s="158"/>
      <c r="T2" s="158"/>
      <c r="U2" s="158"/>
    </row>
    <row r="3" spans="1:21" ht="18" x14ac:dyDescent="0.25">
      <c r="A3" s="156"/>
      <c r="B3" s="156"/>
      <c r="C3" s="156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58"/>
      <c r="T3" s="158"/>
      <c r="U3" s="158"/>
    </row>
    <row r="4" spans="1:21" ht="3" customHeight="1" x14ac:dyDescent="0.3"/>
    <row r="5" spans="1:21" s="9" customFormat="1" ht="162.75" customHeight="1" x14ac:dyDescent="0.2">
      <c r="A5" s="166" t="s">
        <v>0</v>
      </c>
      <c r="B5" s="164" t="s">
        <v>14</v>
      </c>
      <c r="C5" s="161" t="s">
        <v>62</v>
      </c>
      <c r="D5" s="159" t="s">
        <v>63</v>
      </c>
      <c r="E5" s="159" t="s">
        <v>64</v>
      </c>
      <c r="F5" s="159" t="s">
        <v>52</v>
      </c>
      <c r="G5" s="160" t="s">
        <v>17</v>
      </c>
      <c r="H5" s="159" t="s">
        <v>65</v>
      </c>
      <c r="I5" s="159" t="s">
        <v>84</v>
      </c>
      <c r="J5" s="159" t="s">
        <v>67</v>
      </c>
      <c r="K5" s="159" t="s">
        <v>18</v>
      </c>
      <c r="L5" s="160" t="s">
        <v>25</v>
      </c>
      <c r="M5" s="160" t="s">
        <v>21</v>
      </c>
      <c r="N5" s="159" t="s">
        <v>22</v>
      </c>
      <c r="O5" s="160" t="s">
        <v>66</v>
      </c>
      <c r="P5" s="159" t="s">
        <v>23</v>
      </c>
      <c r="Q5" s="159" t="s">
        <v>24</v>
      </c>
      <c r="R5" s="161" t="s">
        <v>57</v>
      </c>
      <c r="S5" s="161" t="s">
        <v>40</v>
      </c>
      <c r="T5" s="160" t="s">
        <v>27</v>
      </c>
      <c r="U5" s="159" t="s">
        <v>26</v>
      </c>
    </row>
    <row r="6" spans="1:21" s="9" customFormat="1" ht="189" customHeight="1" x14ac:dyDescent="0.2">
      <c r="A6" s="167"/>
      <c r="B6" s="165"/>
      <c r="C6" s="162"/>
      <c r="D6" s="159"/>
      <c r="E6" s="159"/>
      <c r="F6" s="159"/>
      <c r="G6" s="160"/>
      <c r="H6" s="159"/>
      <c r="I6" s="159"/>
      <c r="J6" s="159"/>
      <c r="K6" s="159"/>
      <c r="L6" s="160"/>
      <c r="M6" s="160"/>
      <c r="N6" s="159"/>
      <c r="O6" s="160"/>
      <c r="P6" s="159"/>
      <c r="Q6" s="159"/>
      <c r="R6" s="162"/>
      <c r="S6" s="163"/>
      <c r="T6" s="160"/>
      <c r="U6" s="159"/>
    </row>
    <row r="7" spans="1:21" ht="25.5" x14ac:dyDescent="0.35">
      <c r="A7" s="16">
        <v>1</v>
      </c>
      <c r="B7" s="18" t="s">
        <v>51</v>
      </c>
      <c r="C7" s="75">
        <f>'1 часть дотации'!C7</f>
        <v>11095</v>
      </c>
      <c r="D7" s="75">
        <v>0</v>
      </c>
      <c r="E7" s="60">
        <v>0</v>
      </c>
      <c r="F7" s="76">
        <f>D7/C7</f>
        <v>0</v>
      </c>
      <c r="G7" s="61">
        <f>(1+0.25*F7)/(1+0.25*$F$17)</f>
        <v>0.93027178288036194</v>
      </c>
      <c r="H7" s="117">
        <f>99.35+133.02</f>
        <v>232.37</v>
      </c>
      <c r="I7" s="117">
        <v>4972.51</v>
      </c>
      <c r="J7" s="117">
        <v>7726.99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1.0825166848315908</v>
      </c>
      <c r="L7" s="61">
        <f>параметры!$B$12*ИБР!G7+параметры!$B$13*ИБР!K7+1-параметры!$B$12-параметры!$B$13</f>
        <v>0.97833696469519982</v>
      </c>
      <c r="M7" s="60">
        <v>0</v>
      </c>
      <c r="N7" s="61">
        <f>M7+(1-M7)*(AVERAGE($C$7:$C$16))/C7</f>
        <v>0.2734114465975665</v>
      </c>
      <c r="O7" s="117">
        <v>337.93</v>
      </c>
      <c r="P7" s="61">
        <f>(O7/C7)/($O$17/$C$17)</f>
        <v>1.0170166668359859</v>
      </c>
      <c r="Q7" s="61">
        <f>(1+E7/C7)/(1+$E$17/$C$17)</f>
        <v>0.91461392347815607</v>
      </c>
      <c r="R7" s="61">
        <v>81.3</v>
      </c>
      <c r="S7" s="61">
        <f>(R7/C7)/($R$17/$C$17)</f>
        <v>0.63782928574984643</v>
      </c>
      <c r="T7" s="61">
        <f>параметры!$B$18*ИБР!N7+параметры!$B$19*ИБР!P7+параметры!$B$21*ИБР!Q7+параметры!$B$20*ИБР!S7</f>
        <v>0.78097222336313132</v>
      </c>
      <c r="U7" s="61">
        <f>L7*T7*$C$17/SUMPRODUCT($L$7:$L$16,$T$7:$T$16,$C$7:$C$16)</f>
        <v>0.75997749901456269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2747</v>
      </c>
      <c r="D8" s="75">
        <v>34</v>
      </c>
      <c r="E8" s="60">
        <v>34</v>
      </c>
      <c r="F8" s="76">
        <f t="shared" ref="F8:F17" si="0">D8/C8</f>
        <v>1.2377138696760102E-2</v>
      </c>
      <c r="G8" s="61">
        <f t="shared" ref="G8:G17" si="1">(1+0.25*F8)/(1+0.25*$F$17)</f>
        <v>0.93315030860095993</v>
      </c>
      <c r="H8" s="117">
        <f>99.71+0</f>
        <v>99.71</v>
      </c>
      <c r="I8" s="117">
        <v>4353.6099999999997</v>
      </c>
      <c r="J8" s="117">
        <v>7726.99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0.85578148500822726</v>
      </c>
      <c r="L8" s="61">
        <f>параметры!$B$12*ИБР!G8+параметры!$B$13*ИБР!K8+1-параметры!$B$12-параметры!$B$13</f>
        <v>0.9682066904156108</v>
      </c>
      <c r="M8" s="60">
        <f>$M$7</f>
        <v>0</v>
      </c>
      <c r="N8" s="61">
        <f>M8+(1-M8)*(AVERAGE($C$7:$C$16))/C8</f>
        <v>1.104295595194758</v>
      </c>
      <c r="O8" s="117">
        <v>103.6</v>
      </c>
      <c r="P8" s="61">
        <f t="shared" ref="P8:P17" si="3">(O8/C8)/($O$17/$C$17)</f>
        <v>1.2593015108992704</v>
      </c>
      <c r="Q8" s="61">
        <f t="shared" ref="Q8:Q17" si="4">(1+E8/C8)/(1+$E$17/$C$17)</f>
        <v>0.92593422686303317</v>
      </c>
      <c r="R8" s="61">
        <v>38.799999999999997</v>
      </c>
      <c r="S8" s="61">
        <f t="shared" ref="S8:S17" si="5">(R8/C8)/($R$17/$C$17)</f>
        <v>1.2294596583516957</v>
      </c>
      <c r="T8" s="61">
        <f>параметры!$B$18*ИБР!N8+параметры!$B$19*ИБР!P8+параметры!$B$21*ИБР!Q8+параметры!$B$20*ИБР!S8</f>
        <v>0.99280810787522755</v>
      </c>
      <c r="U8" s="61">
        <f t="shared" ref="U8:U16" si="6">L8*T8*$C$17/SUMPRODUCT($L$7:$L$16,$T$7:$T$16,$C$7:$C$16)</f>
        <v>0.95611488206234052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1384</v>
      </c>
      <c r="D9" s="75">
        <v>0</v>
      </c>
      <c r="E9" s="60">
        <v>0</v>
      </c>
      <c r="F9" s="76">
        <f t="shared" si="0"/>
        <v>0</v>
      </c>
      <c r="G9" s="61">
        <f t="shared" si="1"/>
        <v>0.93027178288036194</v>
      </c>
      <c r="H9" s="117">
        <f>81.34+86.96</f>
        <v>168.3</v>
      </c>
      <c r="I9" s="117">
        <v>5312.17</v>
      </c>
      <c r="J9" s="117">
        <v>7726.99</v>
      </c>
      <c r="K9" s="61">
        <f t="shared" si="2"/>
        <v>1.0609301180232364</v>
      </c>
      <c r="L9" s="61">
        <f>параметры!$B$12*ИБР!G9+параметры!$B$13*ИБР!K9+1-параметры!$B$12-параметры!$B$13</f>
        <v>0.97727134902776314</v>
      </c>
      <c r="M9" s="60">
        <f t="shared" ref="M9:M16" si="7">$M$7</f>
        <v>0</v>
      </c>
      <c r="N9" s="61">
        <f t="shared" ref="N9:N16" si="8">M9+(1-M9)*(AVERAGE($C$7:$C$16))/C9</f>
        <v>2.191835260115607</v>
      </c>
      <c r="O9" s="117">
        <v>43.89</v>
      </c>
      <c r="P9" s="61">
        <f t="shared" si="3"/>
        <v>1.0589077312265982</v>
      </c>
      <c r="Q9" s="61">
        <f t="shared" si="4"/>
        <v>0.91461392347815607</v>
      </c>
      <c r="R9" s="61">
        <v>24.4</v>
      </c>
      <c r="S9" s="61">
        <f t="shared" si="5"/>
        <v>1.5345991491196784</v>
      </c>
      <c r="T9" s="61">
        <f>параметры!$B$18*ИБР!N9+параметры!$B$19*ИБР!P9+параметры!$B$21*ИБР!Q9+параметры!$B$20*ИБР!S9</f>
        <v>1.1919249724617498</v>
      </c>
      <c r="U9" s="61">
        <f t="shared" si="6"/>
        <v>1.1586193279908499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2586</v>
      </c>
      <c r="D10" s="75">
        <v>0</v>
      </c>
      <c r="E10" s="60">
        <v>0</v>
      </c>
      <c r="F10" s="76">
        <f t="shared" si="0"/>
        <v>0</v>
      </c>
      <c r="G10" s="61">
        <f t="shared" si="1"/>
        <v>0.93027178288036194</v>
      </c>
      <c r="H10" s="117">
        <f>91.24+123.18</f>
        <v>214.42000000000002</v>
      </c>
      <c r="I10" s="117">
        <v>3813.09</v>
      </c>
      <c r="J10" s="117">
        <v>7726.99</v>
      </c>
      <c r="K10" s="61">
        <f t="shared" si="2"/>
        <v>0.90373730981542821</v>
      </c>
      <c r="L10" s="61">
        <f>параметры!$B$12*ИБР!G10+параметры!$B$13*ИБР!K10+1-параметры!$B$12-параметры!$B$13</f>
        <v>0.9695115639391152</v>
      </c>
      <c r="M10" s="60">
        <f t="shared" si="7"/>
        <v>0</v>
      </c>
      <c r="N10" s="61">
        <f t="shared" si="8"/>
        <v>1.1730471771075019</v>
      </c>
      <c r="O10" s="117">
        <v>63.56</v>
      </c>
      <c r="P10" s="61">
        <f t="shared" si="3"/>
        <v>0.82069917419153793</v>
      </c>
      <c r="Q10" s="61">
        <f t="shared" si="4"/>
        <v>0.91461392347815607</v>
      </c>
      <c r="R10" s="61">
        <v>28.1</v>
      </c>
      <c r="S10" s="61">
        <f t="shared" si="5"/>
        <v>0.94584291755296412</v>
      </c>
      <c r="T10" s="61">
        <f>параметры!$B$18*ИБР!N10+параметры!$B$19*ИБР!P10+параметры!$B$21*ИБР!Q10+параметры!$B$20*ИБР!S10</f>
        <v>0.95861461309531426</v>
      </c>
      <c r="U10" s="61">
        <f t="shared" si="6"/>
        <v>0.92442934271625288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4363</v>
      </c>
      <c r="D11" s="75">
        <v>901</v>
      </c>
      <c r="E11" s="60">
        <v>901</v>
      </c>
      <c r="F11" s="76">
        <f t="shared" si="0"/>
        <v>0.20650928260371304</v>
      </c>
      <c r="G11" s="61">
        <f t="shared" si="1"/>
        <v>0.97829922250763712</v>
      </c>
      <c r="H11" s="117">
        <f>112.8+191.26</f>
        <v>304.06</v>
      </c>
      <c r="I11" s="117">
        <v>4783.04</v>
      </c>
      <c r="J11" s="117">
        <v>7726.99</v>
      </c>
      <c r="K11" s="61">
        <f t="shared" si="2"/>
        <v>1.1329107173236861</v>
      </c>
      <c r="L11" s="61">
        <f>параметры!$B$12*ИБР!G11+параметры!$B$13*ИБР!K11+1-параметры!$B$12-параметры!$B$13</f>
        <v>0.99855142118380291</v>
      </c>
      <c r="M11" s="60">
        <f t="shared" si="7"/>
        <v>0</v>
      </c>
      <c r="N11" s="61">
        <f t="shared" si="8"/>
        <v>0.69527847811139121</v>
      </c>
      <c r="O11" s="117">
        <v>111.72</v>
      </c>
      <c r="P11" s="61">
        <f t="shared" si="3"/>
        <v>0.8550161982058454</v>
      </c>
      <c r="Q11" s="61">
        <f t="shared" si="4"/>
        <v>1.1034901886749973</v>
      </c>
      <c r="R11" s="61">
        <v>60.5</v>
      </c>
      <c r="S11" s="61">
        <f t="shared" si="5"/>
        <v>1.2070114182421567</v>
      </c>
      <c r="T11" s="61">
        <f>параметры!$B$18*ИБР!N11+параметры!$B$19*ИБР!P11+параметры!$B$21*ИБР!Q11+параметры!$B$20*ИБР!S11</f>
        <v>1.0483663515024879</v>
      </c>
      <c r="U11" s="61">
        <f t="shared" si="6"/>
        <v>1.0412624112530595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2351</v>
      </c>
      <c r="D12" s="75">
        <v>2351</v>
      </c>
      <c r="E12" s="60">
        <v>121</v>
      </c>
      <c r="F12" s="76">
        <f>D12/C12</f>
        <v>1</v>
      </c>
      <c r="G12" s="61">
        <f t="shared" si="1"/>
        <v>1.1628397286004524</v>
      </c>
      <c r="H12" s="117">
        <f>91.95</f>
        <v>91.95</v>
      </c>
      <c r="I12" s="117">
        <v>6849.37</v>
      </c>
      <c r="J12" s="117">
        <v>7726.99</v>
      </c>
      <c r="K12" s="61">
        <f t="shared" si="2"/>
        <v>1.1911213105677976</v>
      </c>
      <c r="L12" s="61">
        <f>параметры!$B$12*ИБР!G12+параметры!$B$13*ИБР!K12+1-параметры!$B$12-параметры!$B$13</f>
        <v>1.0695382562405564</v>
      </c>
      <c r="M12" s="60">
        <f t="shared" si="7"/>
        <v>0</v>
      </c>
      <c r="N12" s="61">
        <f t="shared" si="8"/>
        <v>1.2903019991492981</v>
      </c>
      <c r="O12" s="117">
        <v>67.89</v>
      </c>
      <c r="P12" s="61">
        <f t="shared" si="3"/>
        <v>0.9642325942480392</v>
      </c>
      <c r="Q12" s="61">
        <f t="shared" si="4"/>
        <v>0.96168677959932025</v>
      </c>
      <c r="R12" s="61">
        <v>34.700000000000003</v>
      </c>
      <c r="S12" s="61">
        <f t="shared" si="5"/>
        <v>1.2847483320080531</v>
      </c>
      <c r="T12" s="61">
        <f>параметры!$B$18*ИБР!N12+параметры!$B$19*ИБР!P12+параметры!$B$21*ИБР!Q12+параметры!$B$20*ИБР!S12</f>
        <v>1.0518646557219198</v>
      </c>
      <c r="U12" s="61">
        <f t="shared" si="6"/>
        <v>1.1190071702685187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2156</v>
      </c>
      <c r="D13" s="75">
        <v>2156</v>
      </c>
      <c r="E13" s="60">
        <v>1269</v>
      </c>
      <c r="F13" s="76">
        <f t="shared" si="0"/>
        <v>1</v>
      </c>
      <c r="G13" s="61">
        <f t="shared" si="1"/>
        <v>1.1628397286004524</v>
      </c>
      <c r="H13" s="117">
        <f>68.15+86.25</f>
        <v>154.4</v>
      </c>
      <c r="I13" s="117">
        <v>2762.85</v>
      </c>
      <c r="J13" s="117">
        <v>7726.99</v>
      </c>
      <c r="K13" s="61">
        <f t="shared" si="2"/>
        <v>0.69510875547819162</v>
      </c>
      <c r="L13" s="61">
        <f>параметры!$B$12*ИБР!G13+параметры!$B$13*ИБР!K13+1-параметры!$B$12-параметры!$B$13</f>
        <v>1.0450527160135614</v>
      </c>
      <c r="M13" s="60">
        <f t="shared" si="7"/>
        <v>0</v>
      </c>
      <c r="N13" s="61">
        <f t="shared" si="8"/>
        <v>1.4070037105751392</v>
      </c>
      <c r="O13" s="117">
        <v>67.3</v>
      </c>
      <c r="P13" s="61">
        <f t="shared" si="3"/>
        <v>1.0423052760843041</v>
      </c>
      <c r="Q13" s="61">
        <f t="shared" si="4"/>
        <v>1.4529465157294454</v>
      </c>
      <c r="R13" s="61">
        <v>25.6</v>
      </c>
      <c r="S13" s="61">
        <f t="shared" si="5"/>
        <v>1.033552223550174</v>
      </c>
      <c r="T13" s="61">
        <f>параметры!$B$18*ИБР!N13+параметры!$B$19*ИБР!P13+параметры!$B$21*ИБР!Q13+параметры!$B$20*ИБР!S13</f>
        <v>1.3929324407108838</v>
      </c>
      <c r="U13" s="61">
        <f t="shared" si="6"/>
        <v>1.4479212262802608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1101</v>
      </c>
      <c r="D14" s="75">
        <v>1101</v>
      </c>
      <c r="E14" s="60">
        <v>0</v>
      </c>
      <c r="F14" s="76">
        <f t="shared" si="0"/>
        <v>1</v>
      </c>
      <c r="G14" s="61">
        <f t="shared" si="1"/>
        <v>1.1628397286004524</v>
      </c>
      <c r="H14" s="117">
        <v>30.78</v>
      </c>
      <c r="I14" s="117">
        <v>0</v>
      </c>
      <c r="J14" s="117">
        <v>7726.99</v>
      </c>
      <c r="K14" s="61">
        <f t="shared" si="2"/>
        <v>0.18283676142963379</v>
      </c>
      <c r="L14" s="61">
        <f>параметры!$B$12*ИБР!G14+параметры!$B$13*ИБР!K14+1-параметры!$B$12-параметры!$B$13</f>
        <v>1.019764532501406</v>
      </c>
      <c r="M14" s="60">
        <f t="shared" si="7"/>
        <v>0</v>
      </c>
      <c r="N14" s="61">
        <f t="shared" si="8"/>
        <v>2.7552225249772935</v>
      </c>
      <c r="O14" s="117">
        <v>34.79</v>
      </c>
      <c r="P14" s="61">
        <f t="shared" si="3"/>
        <v>1.0551051387367918</v>
      </c>
      <c r="Q14" s="61">
        <f t="shared" si="4"/>
        <v>0.91461392347815607</v>
      </c>
      <c r="R14" s="61">
        <v>15.3</v>
      </c>
      <c r="S14" s="61">
        <f t="shared" si="5"/>
        <v>1.2096098890144213</v>
      </c>
      <c r="T14" s="61">
        <f>параметры!$B$18*ИБР!N14+параметры!$B$19*ИБР!P14+параметры!$B$21*ИБР!Q14+параметры!$B$20*ИБР!S14</f>
        <v>1.2436342925640993</v>
      </c>
      <c r="U14" s="61">
        <f t="shared" si="6"/>
        <v>1.261447776594955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590</v>
      </c>
      <c r="D15" s="75">
        <v>590</v>
      </c>
      <c r="E15" s="60">
        <v>10</v>
      </c>
      <c r="F15" s="76">
        <f t="shared" si="0"/>
        <v>1</v>
      </c>
      <c r="G15" s="61">
        <f t="shared" si="1"/>
        <v>1.1628397286004524</v>
      </c>
      <c r="H15" s="117">
        <f>53.59+0</f>
        <v>53.59</v>
      </c>
      <c r="I15" s="117">
        <v>11492.28</v>
      </c>
      <c r="J15" s="117">
        <v>7726.99</v>
      </c>
      <c r="K15" s="61">
        <f t="shared" si="2"/>
        <v>1.7894378405742151</v>
      </c>
      <c r="L15" s="61">
        <f>параметры!$B$12*ИБР!G15+параметры!$B$13*ИБР!K15+1-параметры!$B$12-параметры!$B$13</f>
        <v>1.099074007530767</v>
      </c>
      <c r="M15" s="60">
        <f t="shared" si="7"/>
        <v>0</v>
      </c>
      <c r="N15" s="61">
        <f t="shared" si="8"/>
        <v>5.1415254237288135</v>
      </c>
      <c r="O15" s="117">
        <v>14.54</v>
      </c>
      <c r="P15" s="61">
        <f t="shared" si="3"/>
        <v>0.82288855738174704</v>
      </c>
      <c r="Q15" s="61">
        <f t="shared" si="4"/>
        <v>0.93011585438456545</v>
      </c>
      <c r="R15" s="61">
        <v>5.7</v>
      </c>
      <c r="S15" s="61">
        <f t="shared" si="5"/>
        <v>0.84093816112637687</v>
      </c>
      <c r="T15" s="61">
        <f>параметры!$B$18*ИБР!N15+параметры!$B$19*ИБР!P15+параметры!$B$21*ИБР!Q15+параметры!$B$20*ИБР!S15</f>
        <v>1.5897444061243373</v>
      </c>
      <c r="U15" s="61">
        <f t="shared" si="6"/>
        <v>1.7379245823616969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1962</v>
      </c>
      <c r="D16" s="75">
        <v>1962</v>
      </c>
      <c r="E16" s="60">
        <v>497</v>
      </c>
      <c r="F16" s="76">
        <f t="shared" si="0"/>
        <v>1</v>
      </c>
      <c r="G16" s="61">
        <f t="shared" si="1"/>
        <v>1.1628397286004524</v>
      </c>
      <c r="H16" s="117">
        <f>54.2</f>
        <v>54.2</v>
      </c>
      <c r="I16" s="117">
        <v>4670.22</v>
      </c>
      <c r="J16" s="117">
        <v>7726.99</v>
      </c>
      <c r="K16" s="61">
        <f t="shared" si="2"/>
        <v>0.85082157901993494</v>
      </c>
      <c r="L16" s="61">
        <f>параметры!$B$12*ИБР!G16+параметры!$B$13*ИБР!K16+1-параметры!$B$12-параметры!$B$13</f>
        <v>1.0527394420158931</v>
      </c>
      <c r="M16" s="60">
        <f t="shared" si="7"/>
        <v>0</v>
      </c>
      <c r="N16" s="61">
        <f t="shared" si="8"/>
        <v>1.5461264016309888</v>
      </c>
      <c r="O16" s="117">
        <v>63.26</v>
      </c>
      <c r="P16" s="61">
        <f t="shared" si="3"/>
        <v>1.0766110004312297</v>
      </c>
      <c r="Q16" s="61">
        <f t="shared" si="4"/>
        <v>1.1462974708627858</v>
      </c>
      <c r="R16" s="61">
        <v>34.1</v>
      </c>
      <c r="S16" s="61">
        <f t="shared" si="5"/>
        <v>1.5128525192429472</v>
      </c>
      <c r="T16" s="61">
        <f>параметры!$B$18*ИБР!N16+параметры!$B$19*ИБР!P16+параметры!$B$21*ИБР!Q16+параметры!$B$20*ИБР!S16</f>
        <v>1.2522725091715463</v>
      </c>
      <c r="U16" s="61">
        <f t="shared" si="6"/>
        <v>1.3112829817133178</v>
      </c>
    </row>
    <row r="17" spans="1:21" ht="26.25" x14ac:dyDescent="0.4">
      <c r="A17" s="16"/>
      <c r="B17" s="8" t="s">
        <v>11</v>
      </c>
      <c r="C17" s="77">
        <f>C7+C8+C9+C10+C11+C12+C13+C14+C15+C16</f>
        <v>30335</v>
      </c>
      <c r="D17" s="77">
        <f>D7+D8+D9+D10+D11+D12+D13+D14+D15+D16</f>
        <v>9095</v>
      </c>
      <c r="E17" s="77">
        <f>E7+E8+E9+E10+E11+E12+E13+E14+E15+E16</f>
        <v>2832</v>
      </c>
      <c r="F17" s="78">
        <f t="shared" si="0"/>
        <v>0.29981869128069888</v>
      </c>
      <c r="G17" s="59">
        <f t="shared" si="1"/>
        <v>1</v>
      </c>
      <c r="H17" s="115">
        <f>(C7*H7+C8*H8+C9*H9+C10*H10+C11*H11+C12*H12+C13*H13+C14*H14+C15*H15+C16*H16)/C17</f>
        <v>187.47281193341027</v>
      </c>
      <c r="I17" s="115">
        <f>(C7*I7+C8*I8+C9*I9+C10*I10+C11*I11+C12*I12+C13*I13+C14*I14+C15*I15+C16*I16)/C17</f>
        <v>4721.0632263062471</v>
      </c>
      <c r="J17" s="115">
        <f>(C7*J7+C8*J8+C9*J9+C10*J10+C11*J11+C12*J12+C13*J13+C14*J14+C15*J15+C16*J16)/C17</f>
        <v>7726.99</v>
      </c>
      <c r="K17" s="59">
        <f>0.2*H17/$H$17+0.65*I17/$I$17+0.15*J17/$J$17</f>
        <v>1</v>
      </c>
      <c r="L17" s="59">
        <f>параметры!$B$12*ИБР!G17+параметры!$B$13*ИБР!K17+1-параметры!$B$12-параметры!$B$13</f>
        <v>1</v>
      </c>
      <c r="M17" s="60"/>
      <c r="N17" s="61"/>
      <c r="O17" s="116">
        <f>O7+O8+O9+O10+O11+O12+O13+O14+O15+O16</f>
        <v>908.4799999999999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ht="39" customHeight="1" x14ac:dyDescent="0.3">
      <c r="B18" s="17"/>
    </row>
    <row r="19" spans="1:21" ht="24.95" customHeight="1" x14ac:dyDescent="0.3"/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</sheetData>
  <customSheetViews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2">
    <mergeCell ref="S5:S6"/>
    <mergeCell ref="B5:B6"/>
    <mergeCell ref="A5:A6"/>
    <mergeCell ref="D5:D6"/>
    <mergeCell ref="G5:G6"/>
    <mergeCell ref="H5:H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70" t="s">
        <v>76</v>
      </c>
      <c r="B2" s="170"/>
      <c r="C2" s="170"/>
      <c r="D2" s="170"/>
      <c r="E2" s="158"/>
      <c r="F2" s="158"/>
      <c r="G2" s="158"/>
      <c r="H2" s="158"/>
      <c r="I2" s="158"/>
    </row>
    <row r="3" spans="1:44" x14ac:dyDescent="0.2">
      <c r="A3" s="170"/>
      <c r="B3" s="170"/>
      <c r="C3" s="170"/>
      <c r="D3" s="170"/>
      <c r="E3" s="158"/>
      <c r="F3" s="158"/>
      <c r="G3" s="158"/>
      <c r="H3" s="158"/>
      <c r="I3" s="158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71" t="s">
        <v>0</v>
      </c>
      <c r="B7" s="171" t="s">
        <v>14</v>
      </c>
      <c r="C7" s="171" t="s">
        <v>75</v>
      </c>
      <c r="D7" s="173" t="s">
        <v>74</v>
      </c>
      <c r="E7" s="174" t="s">
        <v>28</v>
      </c>
      <c r="F7" s="174" t="s">
        <v>29</v>
      </c>
      <c r="G7" s="175" t="s">
        <v>41</v>
      </c>
      <c r="H7" s="174" t="s">
        <v>58</v>
      </c>
      <c r="I7" s="174" t="s">
        <v>59</v>
      </c>
      <c r="S7" s="40"/>
      <c r="U7" s="40"/>
    </row>
    <row r="8" spans="1:44" s="12" customFormat="1" ht="150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  <c r="K8" s="52" t="s">
        <v>77</v>
      </c>
      <c r="L8" s="52" t="s">
        <v>60</v>
      </c>
      <c r="M8" s="67">
        <v>0.8</v>
      </c>
      <c r="N8" s="36" t="s">
        <v>55</v>
      </c>
      <c r="O8" s="68" t="s">
        <v>54</v>
      </c>
      <c r="P8" s="35" t="s">
        <v>55</v>
      </c>
      <c r="Q8" s="68" t="s">
        <v>53</v>
      </c>
      <c r="R8" s="34" t="s">
        <v>55</v>
      </c>
      <c r="S8" s="69">
        <v>0.5</v>
      </c>
      <c r="T8" s="37" t="s">
        <v>55</v>
      </c>
      <c r="U8" s="70">
        <v>0.4</v>
      </c>
      <c r="V8" s="37" t="s">
        <v>55</v>
      </c>
      <c r="W8" s="73">
        <v>0.3</v>
      </c>
      <c r="X8" s="37" t="s">
        <v>55</v>
      </c>
      <c r="Y8" s="39">
        <v>0.2</v>
      </c>
      <c r="Z8" s="37" t="s">
        <v>55</v>
      </c>
      <c r="AA8" s="39">
        <v>0.1</v>
      </c>
      <c r="AB8" s="37" t="s">
        <v>55</v>
      </c>
      <c r="AC8" s="39">
        <v>0.01</v>
      </c>
      <c r="AD8" s="37"/>
      <c r="AE8" s="55">
        <v>1E-3</v>
      </c>
      <c r="AF8" s="44"/>
      <c r="AG8" s="12">
        <v>0</v>
      </c>
      <c r="AI8" s="12" t="s">
        <v>56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11095</v>
      </c>
      <c r="D9" s="83">
        <v>66081.740000000005</v>
      </c>
      <c r="E9" s="61">
        <f>($D$19+параметры!$B$9)/'2 часть дотации (реальные пок2)'!$D$19</f>
        <v>2.3415507437543157</v>
      </c>
      <c r="F9" s="61">
        <f>ИНП!N10/ИБР!U7</f>
        <v>1.7260967464584842</v>
      </c>
      <c r="G9" s="79">
        <f>($D$19/$C$19)*(E9-F9)*ИБР!U7*'2 часть дотации (реальные пок2)'!C9</f>
        <v>28696.043668629878</v>
      </c>
      <c r="H9" s="79">
        <f>параметры!$B$9*'2 часть дотации (реальные пок2)'!G9/SUM($G$9:$G$18)</f>
        <v>28696.043668629878</v>
      </c>
      <c r="I9" s="79">
        <f>'1 часть дотации'!D7+'2 часть дотации (реальные пок2)'!H9</f>
        <v>53390.327993666964</v>
      </c>
      <c r="K9" s="53">
        <v>49835.543382186741</v>
      </c>
      <c r="L9" s="53">
        <f>I9-K9</f>
        <v>3554.7846114802232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2747</v>
      </c>
      <c r="D10" s="83">
        <v>15107.65</v>
      </c>
      <c r="E10" s="61">
        <f>($D$19+параметры!$B$9)/'2 часть дотации (реальные пок2)'!$D$19</f>
        <v>2.3415507437543157</v>
      </c>
      <c r="F10" s="61">
        <f>ИНП!N11/ИБР!U8</f>
        <v>0.930880610385736</v>
      </c>
      <c r="G10" s="79">
        <f>($D$19/$C$19)*(E10-F10)*ИБР!U8*'2 часть дотации (реальные пок2)'!C10</f>
        <v>20487.671227726605</v>
      </c>
      <c r="H10" s="79">
        <f>параметры!$B$9*'2 часть дотации (реальные пок2)'!G10/SUM($G$9:$G$18)</f>
        <v>20487.671227726602</v>
      </c>
      <c r="I10" s="79">
        <f>'1 часть дотации'!D8+'2 часть дотации (реальные пок2)'!H10</f>
        <v>26601.704489635289</v>
      </c>
      <c r="K10" s="53">
        <v>28783.999554122045</v>
      </c>
      <c r="L10" s="53">
        <f t="shared" ref="L10:L18" si="5">I10-K10</f>
        <v>-2182.295064486756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1384</v>
      </c>
      <c r="D11" s="83">
        <v>6804.01</v>
      </c>
      <c r="E11" s="61">
        <f>($D$19+параметры!$B$9)/'2 часть дотации (реальные пок2)'!$D$19</f>
        <v>2.3415507437543157</v>
      </c>
      <c r="F11" s="61">
        <f>ИНП!N12/ИБР!U9</f>
        <v>0.66625928121368405</v>
      </c>
      <c r="G11" s="79">
        <f>($D$19/$C$19)*(E11-F11)*ИБР!U9*'2 часть дотации (реальные пок2)'!C11</f>
        <v>14854.759387876031</v>
      </c>
      <c r="H11" s="79">
        <f>параметры!$B$9*'2 часть дотации (реальные пок2)'!G11/SUM($G$9:$G$18)</f>
        <v>14854.759387876031</v>
      </c>
      <c r="I11" s="79">
        <f>'1 часть дотации'!D9+'2 часть дотации (реальные пок2)'!H11</f>
        <v>17935.146003996026</v>
      </c>
      <c r="K11" s="53">
        <v>16743.545312696348</v>
      </c>
      <c r="L11" s="53">
        <f t="shared" si="5"/>
        <v>1191.6006912996781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2586</v>
      </c>
      <c r="D12" s="83">
        <v>10756.28</v>
      </c>
      <c r="E12" s="61">
        <f>($D$19+параметры!$B$9)/'2 часть дотации (реальные пок2)'!$D$19</f>
        <v>2.3415507437543157</v>
      </c>
      <c r="F12" s="61">
        <f>ИНП!N13/ИБР!U10</f>
        <v>0.55834619737711844</v>
      </c>
      <c r="G12" s="79">
        <f>($D$19/$C$19)*(E12-F12)*ИБР!U10*'2 часть дотации (реальные пок2)'!C12</f>
        <v>23572.290932680942</v>
      </c>
      <c r="H12" s="79">
        <f>параметры!$B$9*'2 часть дотации (реальные пок2)'!G12/SUM($G$9:$G$18)</f>
        <v>23572.290932680942</v>
      </c>
      <c r="I12" s="79">
        <f>'1 часть дотации'!D10+'2 часть дотации (реальные пок2)'!H12</f>
        <v>29327.98442204966</v>
      </c>
      <c r="K12" s="53">
        <v>26466.729445592799</v>
      </c>
      <c r="L12" s="53">
        <f t="shared" si="5"/>
        <v>2861.2549764568612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4363</v>
      </c>
      <c r="D13" s="83">
        <v>20493.25</v>
      </c>
      <c r="E13" s="61">
        <f>($D$19+параметры!$B$9)/'2 часть дотации (реальные пок2)'!$D$19</f>
        <v>2.3415507437543157</v>
      </c>
      <c r="F13" s="61">
        <f>ИНП!N14/ИБР!U11</f>
        <v>0.53084566682816359</v>
      </c>
      <c r="G13" s="79">
        <f>($D$19/$C$19)*(E13-F13)*ИБР!U11*'2 часть дотации (реальные пок2)'!C13</f>
        <v>45487.441536414</v>
      </c>
      <c r="H13" s="79">
        <f>параметры!$B$9*'2 часть дотации (реальные пок2)'!G13/SUM($G$9:$G$18)</f>
        <v>45487.441536414</v>
      </c>
      <c r="I13" s="79">
        <f>'1 часть дотации'!D11+'2 часть дотации (реальные пок2)'!H13</f>
        <v>55198.226800959907</v>
      </c>
      <c r="K13" s="53">
        <v>53137.19754416353</v>
      </c>
      <c r="L13" s="53">
        <f t="shared" si="5"/>
        <v>2061.029256796377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2351</v>
      </c>
      <c r="D14" s="83">
        <v>12052.04</v>
      </c>
      <c r="E14" s="61">
        <f>($D$19+параметры!$B$9)/'2 часть дотации (реальные пок2)'!$D$19</f>
        <v>2.3415507437543157</v>
      </c>
      <c r="F14" s="61">
        <f>ИНП!N15/ИБР!U12</f>
        <v>0.58523842825020456</v>
      </c>
      <c r="G14" s="79">
        <f>($D$19/$C$19)*(E14-F14)*ИБР!U12*'2 часть дотации (реальные пок2)'!C14</f>
        <v>25549.689835477639</v>
      </c>
      <c r="H14" s="79">
        <f>параметры!$B$9*'2 часть дотации (реальные пок2)'!G14/SUM($G$9:$G$18)</f>
        <v>25549.689835477639</v>
      </c>
      <c r="I14" s="79">
        <f>'1 часть дотации'!D12+'2 часть дотации (реальные пок2)'!H14</f>
        <v>30782.340799710371</v>
      </c>
      <c r="K14" s="53">
        <v>29067.646063111108</v>
      </c>
      <c r="L14" s="53">
        <f t="shared" si="5"/>
        <v>1714.6947365992637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2156</v>
      </c>
      <c r="D15" s="83">
        <v>8578.7000000000007</v>
      </c>
      <c r="E15" s="61">
        <f>($D$19+параметры!$B$9)/'2 часть дотации (реальные пок2)'!$D$19</f>
        <v>2.3415507437543157</v>
      </c>
      <c r="F15" s="61">
        <f>ИНП!N16/ИБР!U13</f>
        <v>0.81830197503842483</v>
      </c>
      <c r="G15" s="79">
        <f>($D$19/$C$19)*(E15-F15)*ИБР!U13*'2 часть дотации (реальные пок2)'!C15</f>
        <v>26294.37874617194</v>
      </c>
      <c r="H15" s="79">
        <f>параметры!$B$9*'2 часть дотации (реальные пок2)'!G15/SUM($G$9:$G$18)</f>
        <v>26294.37874617194</v>
      </c>
      <c r="I15" s="79">
        <f>'1 часть дотации'!D13+'2 часть дотации (реальные пок2)'!H15</f>
        <v>31093.015700185457</v>
      </c>
      <c r="K15" s="53">
        <v>32388.606792617014</v>
      </c>
      <c r="L15" s="53">
        <f t="shared" si="5"/>
        <v>-1295.5910924315576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1101</v>
      </c>
      <c r="D16" s="83">
        <v>8004.47</v>
      </c>
      <c r="E16" s="61">
        <f>($D$19+параметры!$B$9)/'2 часть дотации (реальные пок2)'!$D$19</f>
        <v>2.3415507437543157</v>
      </c>
      <c r="F16" s="61">
        <f>ИНП!N17/ИБР!U14</f>
        <v>0.74398476135205094</v>
      </c>
      <c r="G16" s="79">
        <f>($D$19/$C$19)*(E16-F16)*ИБР!U14*'2 часть дотации (реальные пок2)'!C16</f>
        <v>12269.130507361922</v>
      </c>
      <c r="H16" s="79">
        <f>параметры!$B$9*'2 часть дотации (реальные пок2)'!G16/SUM($G$9:$G$18)</f>
        <v>12269.130507361922</v>
      </c>
      <c r="I16" s="79">
        <f>'1 часть дотации'!D14+'2 часть дотации (реальные пок2)'!H16</f>
        <v>14719.640380445819</v>
      </c>
      <c r="K16" s="53">
        <v>18222.117324925173</v>
      </c>
      <c r="L16" s="53">
        <f t="shared" si="5"/>
        <v>-3502.4769444793546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590</v>
      </c>
      <c r="D17" s="83">
        <v>2218.58</v>
      </c>
      <c r="E17" s="61">
        <f>($D$19+параметры!$B$9)/'2 часть дотации (реальные пок2)'!$D$19</f>
        <v>2.3415507437543157</v>
      </c>
      <c r="F17" s="61">
        <f>ИНП!N18/ИБР!U15</f>
        <v>0.41826996806479905</v>
      </c>
      <c r="G17" s="79">
        <f>($D$19/$C$19)*(E17-F17)*ИБР!U15*'2 часть дотации (реальные пок2)'!C17</f>
        <v>10904.958460838063</v>
      </c>
      <c r="H17" s="79">
        <f>параметры!$B$9*'2 часть дотации (реальные пок2)'!G17/SUM($G$9:$G$18)</f>
        <v>10904.958460838063</v>
      </c>
      <c r="I17" s="79">
        <f>'1 часть дотации'!D15+'2 часть дотации (реальные пок2)'!H17</f>
        <v>12218.129055860314</v>
      </c>
      <c r="K17" s="53">
        <v>12240.582424567943</v>
      </c>
      <c r="L17" s="53">
        <f t="shared" si="5"/>
        <v>-22.453368707629124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1962</v>
      </c>
      <c r="D18" s="83">
        <v>17645.5</v>
      </c>
      <c r="E18" s="61">
        <f>($D$19+параметры!$B$9)/'2 часть дотации (реальные пок2)'!$D$19</f>
        <v>2.3415507437543157</v>
      </c>
      <c r="F18" s="61">
        <f>ИНП!N19/ИБР!U16</f>
        <v>1.1523263115687994</v>
      </c>
      <c r="G18" s="79">
        <f>($D$19/$C$19)*(E18-F18)*ИБР!U16*'2 часть дотации (реальные пок2)'!C18</f>
        <v>16918.335696822975</v>
      </c>
      <c r="H18" s="79">
        <f>параметры!$B$9*'2 часть дотации (реальные пок2)'!G18/SUM($G$9:$G$18)</f>
        <v>16918.335696822975</v>
      </c>
      <c r="I18" s="79">
        <f>'1 часть дотации'!D16+'2 часть дотации (реальные пок2)'!H18</f>
        <v>21285.184353490193</v>
      </c>
      <c r="K18" s="53">
        <v>13472.232156017324</v>
      </c>
      <c r="L18" s="53">
        <f t="shared" si="5"/>
        <v>7812.9521974728686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30335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225034.7</v>
      </c>
      <c r="H19" s="80">
        <f>H9+H10+H11+H12+H13+H14+H15+H16+H17+H18</f>
        <v>225034.7</v>
      </c>
      <c r="I19" s="80">
        <f>SUM(I9:I18)</f>
        <v>292551.7</v>
      </c>
      <c r="K19" s="54">
        <f>SUM(K9:K18)</f>
        <v>280358.2</v>
      </c>
      <c r="L19" s="54">
        <f>SUM(L9:L18)</f>
        <v>12193.499999999975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-5811.2157788056193</v>
      </c>
    </row>
    <row r="24" spans="1:44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44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N25"/>
  <sheetViews>
    <sheetView topLeftCell="A2" zoomScale="73" zoomScaleNormal="70" workbookViewId="0">
      <selection activeCell="H18" sqref="H18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3.7109375" style="1" customWidth="1"/>
    <col min="4" max="5" width="28.7109375" style="1" customWidth="1"/>
    <col min="6" max="6" width="27.85546875" style="1" customWidth="1"/>
    <col min="7" max="7" width="37" style="1" customWidth="1"/>
    <col min="8" max="8" width="33.5703125" style="1" customWidth="1"/>
    <col min="9" max="9" width="28.28515625" style="1" customWidth="1"/>
    <col min="10" max="16384" width="9.140625" style="1"/>
  </cols>
  <sheetData>
    <row r="2" spans="1:14" ht="31.5" customHeight="1" x14ac:dyDescent="0.2">
      <c r="A2" s="170" t="s">
        <v>90</v>
      </c>
      <c r="B2" s="170"/>
      <c r="C2" s="170"/>
      <c r="D2" s="170"/>
      <c r="E2" s="158"/>
      <c r="F2" s="158"/>
      <c r="G2" s="158"/>
      <c r="H2" s="158"/>
      <c r="I2" s="158"/>
    </row>
    <row r="3" spans="1:14" x14ac:dyDescent="0.2">
      <c r="A3" s="170"/>
      <c r="B3" s="170"/>
      <c r="C3" s="170"/>
      <c r="D3" s="170"/>
      <c r="E3" s="158"/>
      <c r="F3" s="158"/>
      <c r="G3" s="158"/>
      <c r="H3" s="158"/>
      <c r="I3" s="158"/>
    </row>
    <row r="4" spans="1:1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1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1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14" s="12" customFormat="1" ht="132.75" customHeight="1" x14ac:dyDescent="0.25">
      <c r="A7" s="171" t="s">
        <v>0</v>
      </c>
      <c r="B7" s="171" t="s">
        <v>14</v>
      </c>
      <c r="C7" s="171" t="s">
        <v>75</v>
      </c>
      <c r="D7" s="173" t="s">
        <v>91</v>
      </c>
      <c r="E7" s="174" t="s">
        <v>28</v>
      </c>
      <c r="F7" s="174" t="s">
        <v>29</v>
      </c>
      <c r="G7" s="175" t="s">
        <v>41</v>
      </c>
      <c r="H7" s="174" t="s">
        <v>92</v>
      </c>
      <c r="I7" s="174" t="s">
        <v>93</v>
      </c>
    </row>
    <row r="8" spans="1:14" s="12" customFormat="1" ht="87.75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</row>
    <row r="9" spans="1:14" ht="25.5" x14ac:dyDescent="0.35">
      <c r="A9" s="31">
        <v>1</v>
      </c>
      <c r="B9" s="31" t="s">
        <v>1</v>
      </c>
      <c r="C9" s="75">
        <f>'1 часть дотации'!C7</f>
        <v>11095</v>
      </c>
      <c r="D9" s="79">
        <v>66245.600000000006</v>
      </c>
      <c r="E9" s="61">
        <f>($D$19+параметры!$B$9)/'2 часть дотации'!$D$19</f>
        <v>2.4148454126782037</v>
      </c>
      <c r="F9" s="61">
        <f>ИНП!N10/ИБР!U7</f>
        <v>1.7260967464584842</v>
      </c>
      <c r="G9" s="79">
        <f>($D$19/$C$19)*(E9-F9)*ИБР!U7*'2 часть дотации'!C9</f>
        <v>30449.860828403383</v>
      </c>
      <c r="H9" s="79">
        <f>параметры!$B$9*'2 часть дотации'!G9/SUM($G$9:$G$18)</f>
        <v>30449.860828403391</v>
      </c>
      <c r="I9" s="79">
        <f>'1 часть дотации'!D7+'2 часть дотации'!H9</f>
        <v>55144.145153440477</v>
      </c>
      <c r="K9" s="38"/>
      <c r="L9" s="38"/>
      <c r="M9" s="38"/>
      <c r="N9" s="38"/>
    </row>
    <row r="10" spans="1:14" ht="25.5" x14ac:dyDescent="0.35">
      <c r="A10" s="31">
        <v>2</v>
      </c>
      <c r="B10" s="31" t="s">
        <v>2</v>
      </c>
      <c r="C10" s="75">
        <f>'1 часть дотации'!C8</f>
        <v>2747</v>
      </c>
      <c r="D10" s="79">
        <v>13621.3</v>
      </c>
      <c r="E10" s="61">
        <f>($D$19+параметры!$B$9)/'2 часть дотации'!$D$19</f>
        <v>2.4148454126782037</v>
      </c>
      <c r="F10" s="61">
        <f>ИНП!N11/ИБР!U8</f>
        <v>0.930880610385736</v>
      </c>
      <c r="G10" s="79">
        <f>($D$19/$C$19)*(E10-F10)*ИБР!U8*'2 часть дотации'!C10</f>
        <v>20435.667986207267</v>
      </c>
      <c r="H10" s="79">
        <f>параметры!$B$9*'2 часть дотации'!G10/SUM($G$9:$G$18)</f>
        <v>20435.667986207274</v>
      </c>
      <c r="I10" s="79">
        <f>'1 часть дотации'!D8+'2 часть дотации'!H10</f>
        <v>26549.701248115962</v>
      </c>
      <c r="K10" s="38"/>
      <c r="L10" s="38"/>
      <c r="M10" s="38"/>
      <c r="N10" s="38"/>
    </row>
    <row r="11" spans="1:14" ht="25.5" x14ac:dyDescent="0.35">
      <c r="A11" s="31">
        <v>3</v>
      </c>
      <c r="B11" s="31" t="s">
        <v>3</v>
      </c>
      <c r="C11" s="75">
        <f>'1 часть дотации'!C9</f>
        <v>1384</v>
      </c>
      <c r="D11" s="79">
        <v>6773.1</v>
      </c>
      <c r="E11" s="61">
        <f>($D$19+параметры!$B$9)/'2 часть дотации'!$D$19</f>
        <v>2.4148454126782037</v>
      </c>
      <c r="F11" s="61">
        <f>ИНП!N12/ИБР!U9</f>
        <v>0.66625928121368405</v>
      </c>
      <c r="G11" s="79">
        <f>($D$19/$C$19)*(E11-F11)*ИБР!U9*'2 часть дотации'!C11</f>
        <v>14701.457381177876</v>
      </c>
      <c r="H11" s="79">
        <f>параметры!$B$9*'2 часть дотации'!G11/SUM($G$9:$G$18)</f>
        <v>14701.457381177881</v>
      </c>
      <c r="I11" s="79">
        <f>'1 часть дотации'!D9+'2 часть дотации'!H11</f>
        <v>17781.843997297874</v>
      </c>
      <c r="K11" s="38"/>
      <c r="L11" s="38"/>
      <c r="M11" s="38"/>
      <c r="N11" s="38"/>
    </row>
    <row r="12" spans="1:14" ht="25.5" x14ac:dyDescent="0.35">
      <c r="A12" s="31">
        <v>4</v>
      </c>
      <c r="B12" s="31" t="s">
        <v>4</v>
      </c>
      <c r="C12" s="75">
        <f>'1 часть дотации'!C10</f>
        <v>2586</v>
      </c>
      <c r="D12" s="79">
        <v>9866.2000000000007</v>
      </c>
      <c r="E12" s="61">
        <f>($D$19+параметры!$B$9)/'2 часть дотации'!$D$19</f>
        <v>2.4148454126782037</v>
      </c>
      <c r="F12" s="61">
        <f>ИНП!N13/ИБР!U10</f>
        <v>0.55834619737711844</v>
      </c>
      <c r="G12" s="79">
        <f>($D$19/$C$19)*(E12-F12)*ИБР!U10*'2 часть дотации'!C12</f>
        <v>23269.846217413895</v>
      </c>
      <c r="H12" s="79">
        <f>параметры!$B$9*'2 часть дотации'!G12/SUM($G$9:$G$18)</f>
        <v>23269.846217413902</v>
      </c>
      <c r="I12" s="79">
        <f>'1 часть дотации'!D10+'2 часть дотации'!H12</f>
        <v>29025.53970678262</v>
      </c>
      <c r="K12" s="38"/>
      <c r="L12" s="38"/>
      <c r="M12" s="38"/>
      <c r="N12" s="38"/>
    </row>
    <row r="13" spans="1:14" ht="25.5" x14ac:dyDescent="0.35">
      <c r="A13" s="31">
        <v>5</v>
      </c>
      <c r="B13" s="31" t="s">
        <v>5</v>
      </c>
      <c r="C13" s="75">
        <f>'1 часть дотации'!C11</f>
        <v>4363</v>
      </c>
      <c r="D13" s="79">
        <v>19876</v>
      </c>
      <c r="E13" s="61">
        <f>($D$19+параметры!$B$9)/'2 часть дотации'!$D$19</f>
        <v>2.4148454126782037</v>
      </c>
      <c r="F13" s="61">
        <f>ИНП!N14/ИБР!U11</f>
        <v>0.53084566682816359</v>
      </c>
      <c r="G13" s="79">
        <f>($D$19/$C$19)*(E13-F13)*ИБР!U11*'2 часть дотации'!C13</f>
        <v>44876.889169189133</v>
      </c>
      <c r="H13" s="79">
        <f>параметры!$B$9*'2 часть дотации'!G13/SUM($G$9:$G$18)</f>
        <v>44876.889169189148</v>
      </c>
      <c r="I13" s="79">
        <f>'1 часть дотации'!D11+'2 часть дотации'!H13</f>
        <v>54587.674433735054</v>
      </c>
      <c r="K13" s="38"/>
      <c r="L13" s="38"/>
      <c r="M13" s="38"/>
      <c r="N13" s="38"/>
    </row>
    <row r="14" spans="1:14" ht="25.5" x14ac:dyDescent="0.35">
      <c r="A14" s="31">
        <v>6</v>
      </c>
      <c r="B14" s="31" t="s">
        <v>6</v>
      </c>
      <c r="C14" s="75">
        <f>'1 часть дотации'!C12</f>
        <v>2351</v>
      </c>
      <c r="D14" s="79">
        <v>11649.7</v>
      </c>
      <c r="E14" s="61">
        <f>($D$19+параметры!$B$9)/'2 часть дотации'!$D$19</f>
        <v>2.4148454126782037</v>
      </c>
      <c r="F14" s="61">
        <f>ИНП!N15/ИБР!U12</f>
        <v>0.58523842825020456</v>
      </c>
      <c r="G14" s="79">
        <f>($D$19/$C$19)*(E14-F14)*ИБР!U12*'2 часть дотации'!C14</f>
        <v>25237.120914415744</v>
      </c>
      <c r="H14" s="79">
        <f>параметры!$B$9*'2 часть дотации'!G14/SUM($G$9:$G$18)</f>
        <v>25237.120914415747</v>
      </c>
      <c r="I14" s="79">
        <f>'1 часть дотации'!D12+'2 часть дотации'!H14</f>
        <v>30469.771878648484</v>
      </c>
      <c r="K14" s="38"/>
      <c r="L14" s="38"/>
      <c r="M14" s="38"/>
      <c r="N14" s="38"/>
    </row>
    <row r="15" spans="1:14" ht="25.5" x14ac:dyDescent="0.35">
      <c r="A15" s="31">
        <v>7</v>
      </c>
      <c r="B15" s="31" t="s">
        <v>7</v>
      </c>
      <c r="C15" s="75">
        <f>'1 часть дотации'!C13</f>
        <v>2156</v>
      </c>
      <c r="D15" s="79">
        <v>9466.2000000000007</v>
      </c>
      <c r="E15" s="61">
        <f>($D$19+параметры!$B$9)/'2 часть дотации'!$D$19</f>
        <v>2.4148454126782037</v>
      </c>
      <c r="F15" s="61">
        <f>ИНП!N16/ИБР!U13</f>
        <v>0.81830197503842483</v>
      </c>
      <c r="G15" s="79">
        <f>($D$19/$C$19)*(E15-F15)*ИБР!U13*'2 часть дотации'!C15</f>
        <v>26131.896587041327</v>
      </c>
      <c r="H15" s="79">
        <f>параметры!$B$9*'2 часть дотации'!G15/SUM($G$9:$G$18)</f>
        <v>26131.896587041334</v>
      </c>
      <c r="I15" s="79">
        <f>'1 часть дотации'!D13+'2 часть дотации'!H15</f>
        <v>30930.533541054851</v>
      </c>
      <c r="K15" s="38"/>
      <c r="L15" s="38"/>
      <c r="M15" s="38"/>
      <c r="N15" s="38"/>
    </row>
    <row r="16" spans="1:14" ht="25.5" x14ac:dyDescent="0.35">
      <c r="A16" s="31">
        <v>8</v>
      </c>
      <c r="B16" s="31" t="s">
        <v>8</v>
      </c>
      <c r="C16" s="75">
        <f>'1 часть дотации'!C14</f>
        <v>1101</v>
      </c>
      <c r="D16" s="79">
        <v>4012.2</v>
      </c>
      <c r="E16" s="61">
        <f>($D$19+параметры!$B$9)/'2 часть дотации'!$D$19</f>
        <v>2.4148454126782037</v>
      </c>
      <c r="F16" s="61">
        <f>ИНП!N17/ИБР!U14</f>
        <v>0.74398476135205094</v>
      </c>
      <c r="G16" s="79">
        <f>($D$19/$C$19)*(E16-F16)*ИБР!U14*'2 часть дотации'!C16</f>
        <v>12167.275075501284</v>
      </c>
      <c r="H16" s="79">
        <f>параметры!$B$9*'2 часть дотации'!G16/SUM($G$9:$G$18)</f>
        <v>12167.275075501288</v>
      </c>
      <c r="I16" s="79">
        <f>'1 часть дотации'!D14+'2 часть дотации'!H16</f>
        <v>14617.784948585184</v>
      </c>
      <c r="K16" s="38"/>
      <c r="L16" s="38"/>
      <c r="M16" s="38"/>
      <c r="N16" s="38"/>
    </row>
    <row r="17" spans="1:14" ht="25.5" x14ac:dyDescent="0.35">
      <c r="A17" s="31">
        <v>9</v>
      </c>
      <c r="B17" s="31" t="s">
        <v>9</v>
      </c>
      <c r="C17" s="75">
        <f>'1 часть дотации'!C15</f>
        <v>590</v>
      </c>
      <c r="D17" s="79">
        <v>2041.7</v>
      </c>
      <c r="E17" s="61">
        <f>($D$19+параметры!$B$9)/'2 часть дотации'!$D$19</f>
        <v>2.4148454126782037</v>
      </c>
      <c r="F17" s="61">
        <f>ИНП!N18/ИБР!U15</f>
        <v>0.41826996806479905</v>
      </c>
      <c r="G17" s="79">
        <f>($D$19/$C$19)*(E17-F17)*ИБР!U15*'2 часть дотации'!C17</f>
        <v>10734.088308611394</v>
      </c>
      <c r="H17" s="79">
        <f>параметры!$B$9*'2 часть дотации'!G17/SUM($G$9:$G$18)</f>
        <v>10734.088308611397</v>
      </c>
      <c r="I17" s="79">
        <f>'1 часть дотации'!D15+'2 часть дотации'!H17</f>
        <v>12047.258903633649</v>
      </c>
      <c r="K17" s="38"/>
      <c r="L17" s="38"/>
      <c r="M17" s="38"/>
      <c r="N17" s="38"/>
    </row>
    <row r="18" spans="1:14" ht="25.5" x14ac:dyDescent="0.35">
      <c r="A18" s="31">
        <v>10</v>
      </c>
      <c r="B18" s="31" t="s">
        <v>10</v>
      </c>
      <c r="C18" s="75">
        <f>'1 часть дотации'!C16</f>
        <v>1962</v>
      </c>
      <c r="D18" s="79">
        <v>15500.5</v>
      </c>
      <c r="E18" s="61">
        <f>($D$19+параметры!$B$9)/'2 часть дотации'!$D$19</f>
        <v>2.4148454126782037</v>
      </c>
      <c r="F18" s="61">
        <f>ИНП!N19/ИБР!U16</f>
        <v>1.1523263115687994</v>
      </c>
      <c r="G18" s="79">
        <f>($D$19/$C$19)*(E18-F18)*ИБР!U16*'2 часть дотации'!C18</f>
        <v>17030.597532038675</v>
      </c>
      <c r="H18" s="79">
        <f>параметры!$B$9*'2 часть дотации'!G18/SUM($G$9:$G$18)</f>
        <v>17030.597532038679</v>
      </c>
      <c r="I18" s="79">
        <f>'1 часть дотации'!D16+'2 часть дотации'!H18</f>
        <v>21397.446188705893</v>
      </c>
      <c r="K18" s="38"/>
      <c r="L18" s="38"/>
      <c r="M18" s="38"/>
      <c r="N18" s="38"/>
    </row>
    <row r="19" spans="1:14" s="23" customFormat="1" ht="26.25" x14ac:dyDescent="0.4">
      <c r="A19" s="32"/>
      <c r="B19" s="32" t="s">
        <v>11</v>
      </c>
      <c r="C19" s="77">
        <f>C9+C10+C11+C12+C13+C14+C15+C16+C17+C18</f>
        <v>30335</v>
      </c>
      <c r="D19" s="80">
        <f>D9+D10+D11+D12+D13+D14+D15+D16+D17+D18</f>
        <v>159052.50000000003</v>
      </c>
      <c r="E19" s="59">
        <f>($D$19+параметры!$B$9)/'2 часть дотации'!$D$19</f>
        <v>2.4148454126782037</v>
      </c>
      <c r="F19" s="59"/>
      <c r="G19" s="80">
        <f>G9+G10+G11+G12+G13+G14+G15+G16+G17+G18</f>
        <v>225034.69999999995</v>
      </c>
      <c r="H19" s="80">
        <f>H9+H10+H11+H12+H13+H14+H15+H16+H17+H18</f>
        <v>225034.7</v>
      </c>
      <c r="I19" s="80">
        <f>SUM(I9:I18)</f>
        <v>292551.70000000007</v>
      </c>
      <c r="K19" s="41"/>
      <c r="L19" s="41"/>
      <c r="M19" s="41"/>
      <c r="N19" s="41"/>
    </row>
    <row r="20" spans="1:1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4" spans="1:14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14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customSheetViews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1">
    <mergeCell ref="A2:I3"/>
    <mergeCell ref="I7:I8"/>
    <mergeCell ref="A7:A8"/>
    <mergeCell ref="B7:B8"/>
    <mergeCell ref="C7:C8"/>
    <mergeCell ref="D7:D8"/>
    <mergeCell ref="A24:H25"/>
    <mergeCell ref="E7:E8"/>
    <mergeCell ref="F7:F8"/>
    <mergeCell ref="G7:G8"/>
    <mergeCell ref="H7:H8"/>
  </mergeCells>
  <pageMargins left="0.45" right="0.27" top="0.74803149606299213" bottom="0.74803149606299213" header="0.31496062992125984" footer="0.31496062992125984"/>
  <pageSetup paperSize="9" scale="5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2022-11-17T12:51:56Z</cp:lastPrinted>
  <dcterms:created xsi:type="dcterms:W3CDTF">1996-10-08T23:32:33Z</dcterms:created>
  <dcterms:modified xsi:type="dcterms:W3CDTF">2022-11-17T12:52:15Z</dcterms:modified>
</cp:coreProperties>
</file>