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<sst xmlns="http://schemas.openxmlformats.org/spreadsheetml/2006/main" count="508" uniqueCount="201">
  <si>
    <t>ОТЧЕТ ОБ ИСПОЛНЕНИИ БЮДЖЕТА</t>
  </si>
  <si>
    <t>КОДЫ</t>
  </si>
  <si>
    <t xml:space="preserve">Форма по ОКУД </t>
  </si>
  <si>
    <t>0503117</t>
  </si>
  <si>
    <t>на 1 июля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</si>
  <si>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</si>
  <si>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</si>
  <si>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</si>
  <si>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</si>
  <si>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</si>
  <si>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</si>
  <si>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</si>
  <si>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</si>
  <si>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</si>
  <si>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</si>
  <si>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</si>
  <si>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</si>
  <si>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</si>
  <si>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</si>
  <si>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</si>
  <si>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</si>
  <si>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</si>
  <si>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</si>
  <si>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</si>
  <si>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</si>
  <si>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</si>
  <si>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</si>
  <si>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</si>
  <si>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</si>
  <si>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</si>
  <si>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</si>
  <si>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</si>
  <si>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</si>
  <si>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</si>
  <si>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</si>
  <si>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</si>
  <si>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</si>
  <si>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</si>
  <si>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</si>
  <si>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</si>
  <si>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</si>
  <si>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</si>
  <si>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</si>
  <si>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</si>
  <si>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</si>
  <si>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</si>
  <si>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</si>
  <si>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</si>
  <si>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</si>
  <si>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</si>
  <si>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</si>
  <si>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</si>
  <si>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</si>
  <si>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</si>
  <si>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</si>
  <si>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</si>
  <si>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</si>
  <si>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</si>
  <si>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</si>
  <si>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</si>
  <si>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</si>
  <si>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</si>
  <si>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</si>
  <si>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</si>
  <si>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</si>
  <si>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</si>
  <si>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</si>
  <si>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</si>
  <si>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</si>
  <si>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</si>
  <si>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</si>
  <si>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</si>
  <si>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</si>
  <si>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</si>
  <si>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</si>
  <si>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</si>
  <si>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</si>
  <si>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</si>
  <si>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</si>
  <si>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</si>
  <si>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</si>
  <si>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</si>
  <si>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</si>
  <si>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</si>
  <si>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</si>
  <si>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</si>
  <si>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</si>
  <si>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</si>
  <si>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</si>
  <si>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</si>
  <si>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</si>
  <si>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</si>
  <si>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</si>
  <si>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</si>
  <si>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</si>
  <si>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</si>
  <si>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</si>
  <si>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</si>
  <si>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</si>
  <si>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</si>
  <si>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</si>
  <si>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</si>
  <si>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</si>
  <si>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</si>
  <si>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</si>
  <si>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</si>
  <si>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</si>
  <si>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</si>
  <si>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-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</si>
  <si>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</si>
  <si>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</si>
  <si>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</si>
  <si>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</si>
  <si>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</si>
  <si>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</si>
  <si>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</si>
  <si>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</si>
  <si>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</si>
  <si>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</si>
  <si>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</si>
  <si>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</si>
  <si>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</si>
  <si>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</si>
  <si>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</si>
  <si>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</si>
  <si>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</si>
  <si>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</si>
  <si>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</si>
  <si>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</si>
  <si>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</si>
  <si>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</si>
  <si>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</si>
  <si>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</si>
  <si>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</si>
  <si>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</si>
  <si>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</si>
  <si>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</si>
  <si>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650 0113 6000070018 540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</si>
  <si>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</si>
  <si>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</si>
  <si>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</si>
  <si>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</si>
  <si>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</si>
  <si>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</si>
  <si>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</si>
  <si>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</si>
  <si>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</si>
  <si>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</si>
  <si>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</si>
  <si>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</si>
  <si>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</si>
  <si>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</si>
  <si>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</si>
  <si>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</si>
  <si>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</si>
  <si>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</si>
  <si>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</si>
  <si>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</si>
  <si>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</si>
  <si>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</si>
  <si>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650 0503 0601006500 244</t>
  </si>
  <si>
    <t>650 0503 0601882420 244</t>
  </si>
  <si>
    <t>650 0503 06018S2420 244</t>
  </si>
  <si>
    <t>650 0503 0601906500 244</t>
  </si>
  <si>
    <t>650 0503 0602206500 244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</si>
  <si>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</si>
  <si>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</si>
  <si>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</si>
  <si>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</si>
  <si>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</si>
  <si>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04024S2440 611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</si>
  <si>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</si>
  <si>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</si>
  <si>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</si>
  <si>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</si>
  <si>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</si>
  <si>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</si>
  <si>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</si>
  <si>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</si>
  <si>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</si>
  <si>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</si>
  <si>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</si>
  <si>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</si>
  <si>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</si>
  <si>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</si>
  <si>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</si>
  <si>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</si>
  <si>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</si>
  <si>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</si>
  <si>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</si>
  <si>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</si>
  <si>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</si>
  <si>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</si>
  <si>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</si>
  <si>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</si>
  <si>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</si>
  <si>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</si>
  <si>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</si>
  <si>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</si>
  <si>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19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</si>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</sst>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42917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69486943.59</f>
        <v>69486943.59</v>
      </c>
      <c r="Q12" s="21"/>
      <c r="R12" s="21"/>
      <c r="S12" s="21">
        <f>30550203.86</f>
        <v>30550203.86</v>
      </c>
      <c r="T12" s="21"/>
      <c r="U12" s="21"/>
      <c r="V12" s="21"/>
      <c r="W12" s="21"/>
      <c r="X12" s="22">
        <f>38936739.73</f>
        <v>38936739.73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755361.93</f>
        <v>755361.93</v>
      </c>
      <c r="Q13" s="25"/>
      <c r="R13" s="25"/>
      <c r="S13" s="25">
        <f>140938.74</f>
        <v>140938.74</v>
      </c>
      <c r="T13" s="25"/>
      <c r="U13" s="25"/>
      <c r="V13" s="25"/>
      <c r="W13" s="25"/>
      <c r="X13" s="26">
        <f>614423.19</f>
        <v>614423.19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225615.23</f>
        <v>225615.23</v>
      </c>
      <c r="Q14" s="25"/>
      <c r="R14" s="25"/>
      <c r="S14" s="25">
        <f>8395.21</f>
        <v>8395.21</v>
      </c>
      <c r="T14" s="25"/>
      <c r="U14" s="25"/>
      <c r="V14" s="25"/>
      <c r="W14" s="25"/>
      <c r="X14" s="26">
        <f>217220.02</f>
        <v>217220.02</v>
      </c>
      <c r="Y14" s="26"/>
      <c r="Z14" s="26"/>
    </row>
    <row r="15" spans="1:26" s="1" customFormat="1" ht="4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41</v>
      </c>
      <c r="N15" s="24"/>
      <c r="O15" s="24"/>
      <c r="P15" s="25">
        <f>54638.07</f>
        <v>54638.07</v>
      </c>
      <c r="Q15" s="25"/>
      <c r="R15" s="25"/>
      <c r="S15" s="25">
        <f>54638.07</f>
        <v>54638.07</v>
      </c>
      <c r="T15" s="25"/>
      <c r="U15" s="25"/>
      <c r="V15" s="25"/>
      <c r="W15" s="25"/>
      <c r="X15" s="26">
        <f>0</f>
        <v>0</v>
      </c>
      <c r="Y15" s="26"/>
      <c r="Z15" s="26"/>
    </row>
    <row r="16" spans="1:26" s="1" customFormat="1" ht="33.7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42</v>
      </c>
      <c r="N16" s="24"/>
      <c r="O16" s="24"/>
      <c r="P16" s="25">
        <f>24384.77</f>
        <v>24384.77</v>
      </c>
      <c r="Q16" s="25"/>
      <c r="R16" s="25"/>
      <c r="S16" s="25">
        <f>24384.77</f>
        <v>24384.77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44</v>
      </c>
      <c r="N17" s="24"/>
      <c r="O17" s="24"/>
      <c r="P17" s="25">
        <f>2925359.75</f>
        <v>2925359.75</v>
      </c>
      <c r="Q17" s="25"/>
      <c r="R17" s="25"/>
      <c r="S17" s="25">
        <f>1487420.68</f>
        <v>1487420.68</v>
      </c>
      <c r="T17" s="25"/>
      <c r="U17" s="25"/>
      <c r="V17" s="25"/>
      <c r="W17" s="25"/>
      <c r="X17" s="26">
        <f>1437939.07</f>
        <v>1437939.07</v>
      </c>
      <c r="Y17" s="26"/>
      <c r="Z17" s="26"/>
    </row>
    <row r="18" spans="1:26" s="1" customFormat="1" ht="54.7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46</v>
      </c>
      <c r="N18" s="24"/>
      <c r="O18" s="24"/>
      <c r="P18" s="25">
        <f>27367.26</f>
        <v>27367.26</v>
      </c>
      <c r="Q18" s="25"/>
      <c r="R18" s="25"/>
      <c r="S18" s="25">
        <f>16166.26</f>
        <v>16166.26</v>
      </c>
      <c r="T18" s="25"/>
      <c r="U18" s="25"/>
      <c r="V18" s="25"/>
      <c r="W18" s="25"/>
      <c r="X18" s="26">
        <f>11201</f>
        <v>11201</v>
      </c>
      <c r="Y18" s="26"/>
      <c r="Z18" s="26"/>
    </row>
    <row r="19" spans="1:26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48</v>
      </c>
      <c r="N19" s="24"/>
      <c r="O19" s="24"/>
      <c r="P19" s="25">
        <f>5443054.83</f>
        <v>5443054.83</v>
      </c>
      <c r="Q19" s="25"/>
      <c r="R19" s="25"/>
      <c r="S19" s="25">
        <f>2564543.8</f>
        <v>2564543.8</v>
      </c>
      <c r="T19" s="25"/>
      <c r="U19" s="25"/>
      <c r="V19" s="25"/>
      <c r="W19" s="25"/>
      <c r="X19" s="26">
        <f>2878511.03</f>
        <v>2878511.03</v>
      </c>
      <c r="Y19" s="26"/>
      <c r="Z19" s="26"/>
    </row>
    <row r="20" spans="1:26" s="1" customFormat="1" ht="4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50</v>
      </c>
      <c r="N20" s="24"/>
      <c r="O20" s="24"/>
      <c r="P20" s="25">
        <f>-495721</f>
        <v>-495721</v>
      </c>
      <c r="Q20" s="25"/>
      <c r="R20" s="25"/>
      <c r="S20" s="25">
        <f>-301699.56</f>
        <v>-301699.56</v>
      </c>
      <c r="T20" s="25"/>
      <c r="U20" s="25"/>
      <c r="V20" s="25"/>
      <c r="W20" s="25"/>
      <c r="X20" s="26">
        <f>-194021.44</f>
        <v>-194021.44</v>
      </c>
      <c r="Y20" s="26"/>
      <c r="Z20" s="26"/>
    </row>
    <row r="21" spans="1:26" s="1" customFormat="1" ht="4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52</v>
      </c>
      <c r="N21" s="24"/>
      <c r="O21" s="24"/>
      <c r="P21" s="25">
        <f>3800000</f>
        <v>3800000</v>
      </c>
      <c r="Q21" s="25"/>
      <c r="R21" s="25"/>
      <c r="S21" s="25">
        <f>2357397.24</f>
        <v>2357397.24</v>
      </c>
      <c r="T21" s="25"/>
      <c r="U21" s="25"/>
      <c r="V21" s="25"/>
      <c r="W21" s="25"/>
      <c r="X21" s="26">
        <f>1442602.76</f>
        <v>1442602.76</v>
      </c>
      <c r="Y21" s="26"/>
      <c r="Z21" s="26"/>
    </row>
    <row r="22" spans="1:26" s="1" customFormat="1" ht="66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54</v>
      </c>
      <c r="N22" s="24"/>
      <c r="O22" s="24"/>
      <c r="P22" s="25">
        <f>1000</f>
        <v>1000</v>
      </c>
      <c r="Q22" s="25"/>
      <c r="R22" s="25"/>
      <c r="S22" s="25">
        <f>400</f>
        <v>400</v>
      </c>
      <c r="T22" s="25"/>
      <c r="U22" s="25"/>
      <c r="V22" s="25"/>
      <c r="W22" s="25"/>
      <c r="X22" s="26">
        <f>600</f>
        <v>600</v>
      </c>
      <c r="Y22" s="26"/>
      <c r="Z22" s="26"/>
    </row>
    <row r="23" spans="1:26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56</v>
      </c>
      <c r="N23" s="24"/>
      <c r="O23" s="24"/>
      <c r="P23" s="25">
        <f>8000</f>
        <v>8000</v>
      </c>
      <c r="Q23" s="25"/>
      <c r="R23" s="25"/>
      <c r="S23" s="25">
        <f>7390.02</f>
        <v>7390.02</v>
      </c>
      <c r="T23" s="25"/>
      <c r="U23" s="25"/>
      <c r="V23" s="25"/>
      <c r="W23" s="25"/>
      <c r="X23" s="26">
        <f>609.98</f>
        <v>609.98</v>
      </c>
      <c r="Y23" s="26"/>
      <c r="Z23" s="26"/>
    </row>
    <row r="24" spans="1:26" s="1" customFormat="1" ht="13.5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58</v>
      </c>
      <c r="N24" s="24"/>
      <c r="O24" s="24"/>
      <c r="P24" s="25">
        <f>1124000</f>
        <v>1124000</v>
      </c>
      <c r="Q24" s="25"/>
      <c r="R24" s="25"/>
      <c r="S24" s="25">
        <f>233846.03</f>
        <v>233846.03</v>
      </c>
      <c r="T24" s="25"/>
      <c r="U24" s="25"/>
      <c r="V24" s="25"/>
      <c r="W24" s="25"/>
      <c r="X24" s="26">
        <f>890153.97</f>
        <v>890153.97</v>
      </c>
      <c r="Y24" s="26"/>
      <c r="Z24" s="26"/>
    </row>
    <row r="25" spans="1:26" s="1" customFormat="1" ht="24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60</v>
      </c>
      <c r="N25" s="24"/>
      <c r="O25" s="24"/>
      <c r="P25" s="25">
        <f>1000</f>
        <v>1000</v>
      </c>
      <c r="Q25" s="25"/>
      <c r="R25" s="25"/>
      <c r="S25" s="25">
        <f>-180</f>
        <v>-180</v>
      </c>
      <c r="T25" s="25"/>
      <c r="U25" s="25"/>
      <c r="V25" s="25"/>
      <c r="W25" s="25"/>
      <c r="X25" s="26">
        <f>1180</f>
        <v>1180</v>
      </c>
      <c r="Y25" s="26"/>
      <c r="Z25" s="26"/>
    </row>
    <row r="26" spans="1:26" s="1" customFormat="1" ht="13.5" customHeight="1">
      <c r="A26" s="23" t="s">
        <v>61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62</v>
      </c>
      <c r="N26" s="24"/>
      <c r="O26" s="24"/>
      <c r="P26" s="25">
        <f>130000</f>
        <v>130000</v>
      </c>
      <c r="Q26" s="25"/>
      <c r="R26" s="25"/>
      <c r="S26" s="25">
        <f>55102.63</f>
        <v>55102.63</v>
      </c>
      <c r="T26" s="25"/>
      <c r="U26" s="25"/>
      <c r="V26" s="25"/>
      <c r="W26" s="25"/>
      <c r="X26" s="26">
        <f>74897.37</f>
        <v>74897.37</v>
      </c>
      <c r="Y26" s="26"/>
      <c r="Z26" s="26"/>
    </row>
    <row r="27" spans="1:26" s="1" customFormat="1" ht="24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64</v>
      </c>
      <c r="N27" s="24"/>
      <c r="O27" s="24"/>
      <c r="P27" s="25">
        <f>514000</f>
        <v>514000</v>
      </c>
      <c r="Q27" s="25"/>
      <c r="R27" s="25"/>
      <c r="S27" s="25">
        <f>48236.89</f>
        <v>48236.89</v>
      </c>
      <c r="T27" s="25"/>
      <c r="U27" s="25"/>
      <c r="V27" s="25"/>
      <c r="W27" s="25"/>
      <c r="X27" s="26">
        <f>465763.11</f>
        <v>465763.11</v>
      </c>
      <c r="Y27" s="26"/>
      <c r="Z27" s="26"/>
    </row>
    <row r="28" spans="1:26" s="1" customFormat="1" ht="24" customHeight="1">
      <c r="A28" s="23" t="s">
        <v>65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66</v>
      </c>
      <c r="N28" s="24"/>
      <c r="O28" s="24"/>
      <c r="P28" s="25">
        <f>500000</f>
        <v>500000</v>
      </c>
      <c r="Q28" s="25"/>
      <c r="R28" s="25"/>
      <c r="S28" s="25">
        <f>355542.67</f>
        <v>355542.67</v>
      </c>
      <c r="T28" s="25"/>
      <c r="U28" s="25"/>
      <c r="V28" s="25"/>
      <c r="W28" s="25"/>
      <c r="X28" s="26">
        <f>144457.33</f>
        <v>144457.33</v>
      </c>
      <c r="Y28" s="26"/>
      <c r="Z28" s="26"/>
    </row>
    <row r="29" spans="1:26" s="1" customFormat="1" ht="24" customHeight="1">
      <c r="A29" s="23" t="s">
        <v>67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68</v>
      </c>
      <c r="N29" s="24"/>
      <c r="O29" s="24"/>
      <c r="P29" s="25">
        <f>226000</f>
        <v>226000</v>
      </c>
      <c r="Q29" s="25"/>
      <c r="R29" s="25"/>
      <c r="S29" s="25">
        <f>19384.7</f>
        <v>19384.7</v>
      </c>
      <c r="T29" s="25"/>
      <c r="U29" s="25"/>
      <c r="V29" s="25"/>
      <c r="W29" s="25"/>
      <c r="X29" s="26">
        <f>206615.3</f>
        <v>206615.3</v>
      </c>
      <c r="Y29" s="26"/>
      <c r="Z29" s="26"/>
    </row>
    <row r="30" spans="1:26" s="1" customFormat="1" ht="45" customHeight="1">
      <c r="A30" s="23" t="s">
        <v>69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70</v>
      </c>
      <c r="N30" s="24"/>
      <c r="O30" s="24"/>
      <c r="P30" s="25">
        <f>100000</f>
        <v>100000</v>
      </c>
      <c r="Q30" s="25"/>
      <c r="R30" s="25"/>
      <c r="S30" s="25">
        <f>40250</f>
        <v>40250</v>
      </c>
      <c r="T30" s="25"/>
      <c r="U30" s="25"/>
      <c r="V30" s="25"/>
      <c r="W30" s="25"/>
      <c r="X30" s="26">
        <f>59750</f>
        <v>59750</v>
      </c>
      <c r="Y30" s="26"/>
      <c r="Z30" s="26"/>
    </row>
    <row r="31" spans="1:26" s="1" customFormat="1" ht="33.75" customHeight="1">
      <c r="A31" s="23" t="s">
        <v>71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72</v>
      </c>
      <c r="N31" s="24"/>
      <c r="O31" s="24"/>
      <c r="P31" s="25">
        <f>440000</f>
        <v>440000</v>
      </c>
      <c r="Q31" s="25"/>
      <c r="R31" s="25"/>
      <c r="S31" s="25">
        <f>209828.06</f>
        <v>209828.06</v>
      </c>
      <c r="T31" s="25"/>
      <c r="U31" s="25"/>
      <c r="V31" s="25"/>
      <c r="W31" s="25"/>
      <c r="X31" s="26">
        <f>230171.94</f>
        <v>230171.94</v>
      </c>
      <c r="Y31" s="26"/>
      <c r="Z31" s="26"/>
    </row>
    <row r="32" spans="1:26" s="1" customFormat="1" ht="45" customHeight="1">
      <c r="A32" s="23" t="s">
        <v>73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74</v>
      </c>
      <c r="N32" s="24"/>
      <c r="O32" s="24"/>
      <c r="P32" s="25">
        <f>839936.75</f>
        <v>839936.75</v>
      </c>
      <c r="Q32" s="25"/>
      <c r="R32" s="25"/>
      <c r="S32" s="25">
        <f>514537.71</f>
        <v>514537.71</v>
      </c>
      <c r="T32" s="25"/>
      <c r="U32" s="25"/>
      <c r="V32" s="25"/>
      <c r="W32" s="25"/>
      <c r="X32" s="26">
        <f>325399.04</f>
        <v>325399.04</v>
      </c>
      <c r="Y32" s="26"/>
      <c r="Z32" s="26"/>
    </row>
    <row r="33" spans="1:26" s="1" customFormat="1" ht="24" customHeight="1">
      <c r="A33" s="23" t="s">
        <v>75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76</v>
      </c>
      <c r="N33" s="24"/>
      <c r="O33" s="24"/>
      <c r="P33" s="25">
        <f>42361600</f>
        <v>42361600</v>
      </c>
      <c r="Q33" s="25"/>
      <c r="R33" s="25"/>
      <c r="S33" s="25">
        <f>20495065</f>
        <v>20495065</v>
      </c>
      <c r="T33" s="25"/>
      <c r="U33" s="25"/>
      <c r="V33" s="25"/>
      <c r="W33" s="25"/>
      <c r="X33" s="26">
        <f>21866535</f>
        <v>21866535</v>
      </c>
      <c r="Y33" s="26"/>
      <c r="Z33" s="26"/>
    </row>
    <row r="34" spans="1:26" s="1" customFormat="1" ht="13.5" customHeight="1">
      <c r="A34" s="23" t="s">
        <v>77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78</v>
      </c>
      <c r="N34" s="24"/>
      <c r="O34" s="24"/>
      <c r="P34" s="25">
        <f>20000</f>
        <v>20000</v>
      </c>
      <c r="Q34" s="25"/>
      <c r="R34" s="25"/>
      <c r="S34" s="25">
        <f>20000</f>
        <v>20000</v>
      </c>
      <c r="T34" s="25"/>
      <c r="U34" s="25"/>
      <c r="V34" s="25"/>
      <c r="W34" s="25"/>
      <c r="X34" s="26">
        <f>0</f>
        <v>0</v>
      </c>
      <c r="Y34" s="26"/>
      <c r="Z34" s="26"/>
    </row>
    <row r="35" spans="1:26" s="1" customFormat="1" ht="24" customHeight="1">
      <c r="A35" s="23" t="s">
        <v>79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80</v>
      </c>
      <c r="N35" s="24"/>
      <c r="O35" s="24"/>
      <c r="P35" s="25">
        <f>378200</f>
        <v>378200</v>
      </c>
      <c r="Q35" s="25"/>
      <c r="R35" s="25"/>
      <c r="S35" s="25">
        <f>206005</f>
        <v>206005</v>
      </c>
      <c r="T35" s="25"/>
      <c r="U35" s="25"/>
      <c r="V35" s="25"/>
      <c r="W35" s="25"/>
      <c r="X35" s="26">
        <f>172195</f>
        <v>172195</v>
      </c>
      <c r="Y35" s="26"/>
      <c r="Z35" s="26"/>
    </row>
    <row r="36" spans="1:26" s="1" customFormat="1" ht="24" customHeight="1">
      <c r="A36" s="23" t="s">
        <v>81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82</v>
      </c>
      <c r="N36" s="24"/>
      <c r="O36" s="24"/>
      <c r="P36" s="25">
        <f>142900</f>
        <v>142900</v>
      </c>
      <c r="Q36" s="25"/>
      <c r="R36" s="25"/>
      <c r="S36" s="25">
        <f>81995</f>
        <v>81995</v>
      </c>
      <c r="T36" s="25"/>
      <c r="U36" s="25"/>
      <c r="V36" s="25"/>
      <c r="W36" s="25"/>
      <c r="X36" s="26">
        <f>60905</f>
        <v>60905</v>
      </c>
      <c r="Y36" s="26"/>
      <c r="Z36" s="26"/>
    </row>
    <row r="37" spans="1:26" s="1" customFormat="1" ht="24" customHeight="1">
      <c r="A37" s="23" t="s">
        <v>83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84</v>
      </c>
      <c r="N37" s="24"/>
      <c r="O37" s="24"/>
      <c r="P37" s="25">
        <f>9940246</f>
        <v>9940246</v>
      </c>
      <c r="Q37" s="25"/>
      <c r="R37" s="25"/>
      <c r="S37" s="25">
        <f>1910614.94</f>
        <v>1910614.94</v>
      </c>
      <c r="T37" s="25"/>
      <c r="U37" s="25"/>
      <c r="V37" s="25"/>
      <c r="W37" s="25"/>
      <c r="X37" s="26">
        <f>8029631.06</f>
        <v>8029631.06</v>
      </c>
      <c r="Y37" s="26"/>
      <c r="Z37" s="26"/>
    </row>
    <row r="38" spans="1:26" s="1" customFormat="1" ht="13.5" customHeight="1">
      <c r="A38" s="27" t="s">
        <v>10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s="1" customFormat="1" ht="13.5" customHeight="1">
      <c r="A39" s="12" t="s">
        <v>85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 t="s">
        <v>23</v>
      </c>
      <c r="J40" s="13"/>
      <c r="K40" s="13"/>
      <c r="L40" s="13" t="s">
        <v>86</v>
      </c>
      <c r="M40" s="13"/>
      <c r="N40" s="13"/>
      <c r="O40" s="14" t="s">
        <v>87</v>
      </c>
      <c r="P40" s="14"/>
      <c r="Q40" s="14" t="s">
        <v>25</v>
      </c>
      <c r="R40" s="14"/>
      <c r="S40" s="14"/>
      <c r="T40" s="14" t="s">
        <v>26</v>
      </c>
      <c r="U40" s="14"/>
      <c r="V40" s="14"/>
      <c r="W40" s="14"/>
      <c r="X40" s="14"/>
      <c r="Y40" s="15" t="s">
        <v>27</v>
      </c>
      <c r="Z40" s="15"/>
    </row>
    <row r="41" spans="1:26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 t="s">
        <v>29</v>
      </c>
      <c r="J41" s="16"/>
      <c r="K41" s="16"/>
      <c r="L41" s="16" t="s">
        <v>30</v>
      </c>
      <c r="M41" s="16"/>
      <c r="N41" s="16"/>
      <c r="O41" s="17" t="s">
        <v>31</v>
      </c>
      <c r="P41" s="17"/>
      <c r="Q41" s="17" t="s">
        <v>32</v>
      </c>
      <c r="R41" s="17"/>
      <c r="S41" s="17"/>
      <c r="T41" s="17" t="s">
        <v>33</v>
      </c>
      <c r="U41" s="17"/>
      <c r="V41" s="17"/>
      <c r="W41" s="17"/>
      <c r="X41" s="17"/>
      <c r="Y41" s="18" t="s">
        <v>88</v>
      </c>
      <c r="Z41" s="18"/>
    </row>
    <row r="42" spans="1:26" s="1" customFormat="1" ht="13.5" customHeight="1">
      <c r="A42" s="19" t="s">
        <v>89</v>
      </c>
      <c r="B42" s="19"/>
      <c r="C42" s="19"/>
      <c r="D42" s="19"/>
      <c r="E42" s="19"/>
      <c r="F42" s="19"/>
      <c r="G42" s="19"/>
      <c r="H42" s="19"/>
      <c r="I42" s="20" t="s">
        <v>90</v>
      </c>
      <c r="J42" s="20"/>
      <c r="K42" s="20"/>
      <c r="L42" s="20" t="s">
        <v>36</v>
      </c>
      <c r="M42" s="20"/>
      <c r="N42" s="20"/>
      <c r="O42" s="28" t="s">
        <v>36</v>
      </c>
      <c r="P42" s="28"/>
      <c r="Q42" s="21">
        <f>72390297.47</f>
        <v>72390297.47</v>
      </c>
      <c r="R42" s="21"/>
      <c r="S42" s="21"/>
      <c r="T42" s="21">
        <f>26942855.06</f>
        <v>26942855.06</v>
      </c>
      <c r="U42" s="21"/>
      <c r="V42" s="21"/>
      <c r="W42" s="21"/>
      <c r="X42" s="21"/>
      <c r="Y42" s="22">
        <f>45447442.41</f>
        <v>45447442.41</v>
      </c>
      <c r="Z42" s="22"/>
    </row>
    <row r="43" spans="1:26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30" t="s">
        <v>90</v>
      </c>
      <c r="J43" s="30"/>
      <c r="K43" s="30"/>
      <c r="L43" s="30" t="s">
        <v>92</v>
      </c>
      <c r="M43" s="30"/>
      <c r="N43" s="30"/>
      <c r="O43" s="31" t="s">
        <v>93</v>
      </c>
      <c r="P43" s="31"/>
      <c r="Q43" s="32">
        <f>1101547</f>
        <v>1101547</v>
      </c>
      <c r="R43" s="32"/>
      <c r="S43" s="32"/>
      <c r="T43" s="32">
        <f>579482.02</f>
        <v>579482.02</v>
      </c>
      <c r="U43" s="32"/>
      <c r="V43" s="32"/>
      <c r="W43" s="32"/>
      <c r="X43" s="32"/>
      <c r="Y43" s="33">
        <f>522064.98</f>
        <v>522064.98</v>
      </c>
      <c r="Z43" s="33"/>
    </row>
    <row r="44" spans="1:26" s="1" customFormat="1" ht="13.5" customHeight="1">
      <c r="A44" s="29" t="s">
        <v>94</v>
      </c>
      <c r="B44" s="29"/>
      <c r="C44" s="29"/>
      <c r="D44" s="29"/>
      <c r="E44" s="29"/>
      <c r="F44" s="29"/>
      <c r="G44" s="29"/>
      <c r="H44" s="29"/>
      <c r="I44" s="30" t="s">
        <v>90</v>
      </c>
      <c r="J44" s="30"/>
      <c r="K44" s="30"/>
      <c r="L44" s="30" t="s">
        <v>95</v>
      </c>
      <c r="M44" s="30"/>
      <c r="N44" s="30"/>
      <c r="O44" s="31" t="s">
        <v>96</v>
      </c>
      <c r="P44" s="31"/>
      <c r="Q44" s="32">
        <f>332680</f>
        <v>332680</v>
      </c>
      <c r="R44" s="32"/>
      <c r="S44" s="32"/>
      <c r="T44" s="32">
        <f>168604.83</f>
        <v>168604.83</v>
      </c>
      <c r="U44" s="32"/>
      <c r="V44" s="32"/>
      <c r="W44" s="32"/>
      <c r="X44" s="32"/>
      <c r="Y44" s="33">
        <f>164075.17</f>
        <v>164075.17</v>
      </c>
      <c r="Z44" s="33"/>
    </row>
    <row r="45" spans="1:26" s="1" customFormat="1" ht="13.5" customHeight="1">
      <c r="A45" s="29" t="s">
        <v>91</v>
      </c>
      <c r="B45" s="29"/>
      <c r="C45" s="29"/>
      <c r="D45" s="29"/>
      <c r="E45" s="29"/>
      <c r="F45" s="29"/>
      <c r="G45" s="29"/>
      <c r="H45" s="29"/>
      <c r="I45" s="30" t="s">
        <v>90</v>
      </c>
      <c r="J45" s="30"/>
      <c r="K45" s="30"/>
      <c r="L45" s="30" t="s">
        <v>97</v>
      </c>
      <c r="M45" s="30"/>
      <c r="N45" s="30"/>
      <c r="O45" s="31" t="s">
        <v>93</v>
      </c>
      <c r="P45" s="31"/>
      <c r="Q45" s="32">
        <f>6333402</f>
        <v>6333402</v>
      </c>
      <c r="R45" s="32"/>
      <c r="S45" s="32"/>
      <c r="T45" s="32">
        <f>3208925.93</f>
        <v>3208925.93</v>
      </c>
      <c r="U45" s="32"/>
      <c r="V45" s="32"/>
      <c r="W45" s="32"/>
      <c r="X45" s="32"/>
      <c r="Y45" s="33">
        <f>3124476.07</f>
        <v>3124476.07</v>
      </c>
      <c r="Z45" s="33"/>
    </row>
    <row r="46" spans="1:26" s="1" customFormat="1" ht="13.5" customHeight="1">
      <c r="A46" s="29" t="s">
        <v>98</v>
      </c>
      <c r="B46" s="29"/>
      <c r="C46" s="29"/>
      <c r="D46" s="29"/>
      <c r="E46" s="29"/>
      <c r="F46" s="29"/>
      <c r="G46" s="29"/>
      <c r="H46" s="29"/>
      <c r="I46" s="30" t="s">
        <v>90</v>
      </c>
      <c r="J46" s="30"/>
      <c r="K46" s="30"/>
      <c r="L46" s="30" t="s">
        <v>99</v>
      </c>
      <c r="M46" s="30"/>
      <c r="N46" s="30"/>
      <c r="O46" s="31" t="s">
        <v>100</v>
      </c>
      <c r="P46" s="31"/>
      <c r="Q46" s="32">
        <f>67500</f>
        <v>67500</v>
      </c>
      <c r="R46" s="32"/>
      <c r="S46" s="32"/>
      <c r="T46" s="32">
        <f>13328</f>
        <v>13328</v>
      </c>
      <c r="U46" s="32"/>
      <c r="V46" s="32"/>
      <c r="W46" s="32"/>
      <c r="X46" s="32"/>
      <c r="Y46" s="33">
        <f>54172</f>
        <v>54172</v>
      </c>
      <c r="Z46" s="33"/>
    </row>
    <row r="47" spans="1:26" s="1" customFormat="1" ht="13.5" customHeight="1">
      <c r="A47" s="29" t="s">
        <v>94</v>
      </c>
      <c r="B47" s="29"/>
      <c r="C47" s="29"/>
      <c r="D47" s="29"/>
      <c r="E47" s="29"/>
      <c r="F47" s="29"/>
      <c r="G47" s="29"/>
      <c r="H47" s="29"/>
      <c r="I47" s="30" t="s">
        <v>90</v>
      </c>
      <c r="J47" s="30"/>
      <c r="K47" s="30"/>
      <c r="L47" s="30" t="s">
        <v>101</v>
      </c>
      <c r="M47" s="30"/>
      <c r="N47" s="30"/>
      <c r="O47" s="31" t="s">
        <v>96</v>
      </c>
      <c r="P47" s="31"/>
      <c r="Q47" s="32">
        <f>1938766</f>
        <v>1938766</v>
      </c>
      <c r="R47" s="32"/>
      <c r="S47" s="32"/>
      <c r="T47" s="32">
        <f>1136771.33</f>
        <v>1136771.33</v>
      </c>
      <c r="U47" s="32"/>
      <c r="V47" s="32"/>
      <c r="W47" s="32"/>
      <c r="X47" s="32"/>
      <c r="Y47" s="33">
        <f>801994.67</f>
        <v>801994.67</v>
      </c>
      <c r="Z47" s="33"/>
    </row>
    <row r="48" spans="1:26" s="1" customFormat="1" ht="13.5" customHeight="1">
      <c r="A48" s="29" t="s">
        <v>102</v>
      </c>
      <c r="B48" s="29"/>
      <c r="C48" s="29"/>
      <c r="D48" s="29"/>
      <c r="E48" s="29"/>
      <c r="F48" s="29"/>
      <c r="G48" s="29"/>
      <c r="H48" s="29"/>
      <c r="I48" s="30" t="s">
        <v>90</v>
      </c>
      <c r="J48" s="30"/>
      <c r="K48" s="30"/>
      <c r="L48" s="30" t="s">
        <v>103</v>
      </c>
      <c r="M48" s="30"/>
      <c r="N48" s="30"/>
      <c r="O48" s="31" t="s">
        <v>104</v>
      </c>
      <c r="P48" s="31"/>
      <c r="Q48" s="32">
        <f>477495</f>
        <v>477495</v>
      </c>
      <c r="R48" s="32"/>
      <c r="S48" s="32"/>
      <c r="T48" s="32">
        <f>238747.27</f>
        <v>238747.27</v>
      </c>
      <c r="U48" s="32"/>
      <c r="V48" s="32"/>
      <c r="W48" s="32"/>
      <c r="X48" s="32"/>
      <c r="Y48" s="33">
        <f>238747.73</f>
        <v>238747.73</v>
      </c>
      <c r="Z48" s="33"/>
    </row>
    <row r="49" spans="1:26" s="1" customFormat="1" ht="13.5" customHeight="1">
      <c r="A49" s="29" t="s">
        <v>105</v>
      </c>
      <c r="B49" s="29"/>
      <c r="C49" s="29"/>
      <c r="D49" s="29"/>
      <c r="E49" s="29"/>
      <c r="F49" s="29"/>
      <c r="G49" s="29"/>
      <c r="H49" s="29"/>
      <c r="I49" s="30" t="s">
        <v>90</v>
      </c>
      <c r="J49" s="30"/>
      <c r="K49" s="30"/>
      <c r="L49" s="30" t="s">
        <v>106</v>
      </c>
      <c r="M49" s="30"/>
      <c r="N49" s="30"/>
      <c r="O49" s="31" t="s">
        <v>107</v>
      </c>
      <c r="P49" s="31"/>
      <c r="Q49" s="32">
        <f>0</f>
        <v>0</v>
      </c>
      <c r="R49" s="32"/>
      <c r="S49" s="32"/>
      <c r="T49" s="34" t="s">
        <v>108</v>
      </c>
      <c r="U49" s="34"/>
      <c r="V49" s="34"/>
      <c r="W49" s="34"/>
      <c r="X49" s="34"/>
      <c r="Y49" s="35" t="s">
        <v>108</v>
      </c>
      <c r="Z49" s="35"/>
    </row>
    <row r="50" spans="1:26" s="1" customFormat="1" ht="13.5" customHeight="1">
      <c r="A50" s="29" t="s">
        <v>98</v>
      </c>
      <c r="B50" s="29"/>
      <c r="C50" s="29"/>
      <c r="D50" s="29"/>
      <c r="E50" s="29"/>
      <c r="F50" s="29"/>
      <c r="G50" s="29"/>
      <c r="H50" s="29"/>
      <c r="I50" s="30" t="s">
        <v>90</v>
      </c>
      <c r="J50" s="30"/>
      <c r="K50" s="30"/>
      <c r="L50" s="30" t="s">
        <v>109</v>
      </c>
      <c r="M50" s="30"/>
      <c r="N50" s="30"/>
      <c r="O50" s="31" t="s">
        <v>100</v>
      </c>
      <c r="P50" s="31"/>
      <c r="Q50" s="32">
        <f>400000</f>
        <v>400000</v>
      </c>
      <c r="R50" s="32"/>
      <c r="S50" s="32"/>
      <c r="T50" s="32">
        <f>45181</f>
        <v>45181</v>
      </c>
      <c r="U50" s="32"/>
      <c r="V50" s="32"/>
      <c r="W50" s="32"/>
      <c r="X50" s="32"/>
      <c r="Y50" s="33">
        <f>354819</f>
        <v>354819</v>
      </c>
      <c r="Z50" s="33"/>
    </row>
    <row r="51" spans="1:26" s="1" customFormat="1" ht="13.5" customHeight="1">
      <c r="A51" s="29" t="s">
        <v>110</v>
      </c>
      <c r="B51" s="29"/>
      <c r="C51" s="29"/>
      <c r="D51" s="29"/>
      <c r="E51" s="29"/>
      <c r="F51" s="29"/>
      <c r="G51" s="29"/>
      <c r="H51" s="29"/>
      <c r="I51" s="30" t="s">
        <v>90</v>
      </c>
      <c r="J51" s="30"/>
      <c r="K51" s="30"/>
      <c r="L51" s="30" t="s">
        <v>111</v>
      </c>
      <c r="M51" s="30"/>
      <c r="N51" s="30"/>
      <c r="O51" s="31" t="s">
        <v>112</v>
      </c>
      <c r="P51" s="31"/>
      <c r="Q51" s="32">
        <f>3097.82</f>
        <v>3097.82</v>
      </c>
      <c r="R51" s="32"/>
      <c r="S51" s="32"/>
      <c r="T51" s="32">
        <f>1327.6</f>
        <v>1327.6</v>
      </c>
      <c r="U51" s="32"/>
      <c r="V51" s="32"/>
      <c r="W51" s="32"/>
      <c r="X51" s="32"/>
      <c r="Y51" s="33">
        <f>1770.22</f>
        <v>1770.22</v>
      </c>
      <c r="Z51" s="33"/>
    </row>
    <row r="52" spans="1:26" s="1" customFormat="1" ht="13.5" customHeight="1">
      <c r="A52" s="29" t="s">
        <v>113</v>
      </c>
      <c r="B52" s="29"/>
      <c r="C52" s="29"/>
      <c r="D52" s="29"/>
      <c r="E52" s="29"/>
      <c r="F52" s="29"/>
      <c r="G52" s="29"/>
      <c r="H52" s="29"/>
      <c r="I52" s="30" t="s">
        <v>90</v>
      </c>
      <c r="J52" s="30"/>
      <c r="K52" s="30"/>
      <c r="L52" s="30" t="s">
        <v>111</v>
      </c>
      <c r="M52" s="30"/>
      <c r="N52" s="30"/>
      <c r="O52" s="31" t="s">
        <v>114</v>
      </c>
      <c r="P52" s="31"/>
      <c r="Q52" s="32">
        <f>117979.18</f>
        <v>117979.18</v>
      </c>
      <c r="R52" s="32"/>
      <c r="S52" s="32"/>
      <c r="T52" s="32">
        <f>57433.1</f>
        <v>57433.1</v>
      </c>
      <c r="U52" s="32"/>
      <c r="V52" s="32"/>
      <c r="W52" s="32"/>
      <c r="X52" s="32"/>
      <c r="Y52" s="33">
        <f>60546.08</f>
        <v>60546.08</v>
      </c>
      <c r="Z52" s="33"/>
    </row>
    <row r="53" spans="1:26" s="1" customFormat="1" ht="13.5" customHeight="1">
      <c r="A53" s="29" t="s">
        <v>105</v>
      </c>
      <c r="B53" s="29"/>
      <c r="C53" s="29"/>
      <c r="D53" s="29"/>
      <c r="E53" s="29"/>
      <c r="F53" s="29"/>
      <c r="G53" s="29"/>
      <c r="H53" s="29"/>
      <c r="I53" s="30" t="s">
        <v>90</v>
      </c>
      <c r="J53" s="30"/>
      <c r="K53" s="30"/>
      <c r="L53" s="30" t="s">
        <v>111</v>
      </c>
      <c r="M53" s="30"/>
      <c r="N53" s="30"/>
      <c r="O53" s="31" t="s">
        <v>107</v>
      </c>
      <c r="P53" s="31"/>
      <c r="Q53" s="32">
        <f>300000</f>
        <v>300000</v>
      </c>
      <c r="R53" s="32"/>
      <c r="S53" s="32"/>
      <c r="T53" s="32">
        <f>193936.13</f>
        <v>193936.13</v>
      </c>
      <c r="U53" s="32"/>
      <c r="V53" s="32"/>
      <c r="W53" s="32"/>
      <c r="X53" s="32"/>
      <c r="Y53" s="33">
        <f>106063.87</f>
        <v>106063.87</v>
      </c>
      <c r="Z53" s="33"/>
    </row>
    <row r="54" spans="1:26" s="1" customFormat="1" ht="13.5" customHeight="1">
      <c r="A54" s="29" t="s">
        <v>115</v>
      </c>
      <c r="B54" s="29"/>
      <c r="C54" s="29"/>
      <c r="D54" s="29"/>
      <c r="E54" s="29"/>
      <c r="F54" s="29"/>
      <c r="G54" s="29"/>
      <c r="H54" s="29"/>
      <c r="I54" s="30" t="s">
        <v>90</v>
      </c>
      <c r="J54" s="30"/>
      <c r="K54" s="30"/>
      <c r="L54" s="30" t="s">
        <v>111</v>
      </c>
      <c r="M54" s="30"/>
      <c r="N54" s="30"/>
      <c r="O54" s="31" t="s">
        <v>116</v>
      </c>
      <c r="P54" s="31"/>
      <c r="Q54" s="32">
        <f>52000</f>
        <v>52000</v>
      </c>
      <c r="R54" s="32"/>
      <c r="S54" s="32"/>
      <c r="T54" s="32">
        <f>17640</f>
        <v>17640</v>
      </c>
      <c r="U54" s="32"/>
      <c r="V54" s="32"/>
      <c r="W54" s="32"/>
      <c r="X54" s="32"/>
      <c r="Y54" s="33">
        <f>34360</f>
        <v>34360</v>
      </c>
      <c r="Z54" s="33"/>
    </row>
    <row r="55" spans="1:26" s="1" customFormat="1" ht="13.5" customHeight="1">
      <c r="A55" s="29" t="s">
        <v>105</v>
      </c>
      <c r="B55" s="29"/>
      <c r="C55" s="29"/>
      <c r="D55" s="29"/>
      <c r="E55" s="29"/>
      <c r="F55" s="29"/>
      <c r="G55" s="29"/>
      <c r="H55" s="29"/>
      <c r="I55" s="30" t="s">
        <v>90</v>
      </c>
      <c r="J55" s="30"/>
      <c r="K55" s="30"/>
      <c r="L55" s="30" t="s">
        <v>117</v>
      </c>
      <c r="M55" s="30"/>
      <c r="N55" s="30"/>
      <c r="O55" s="31" t="s">
        <v>107</v>
      </c>
      <c r="P55" s="31"/>
      <c r="Q55" s="32">
        <f>0</f>
        <v>0</v>
      </c>
      <c r="R55" s="32"/>
      <c r="S55" s="32"/>
      <c r="T55" s="34" t="s">
        <v>108</v>
      </c>
      <c r="U55" s="34"/>
      <c r="V55" s="34"/>
      <c r="W55" s="34"/>
      <c r="X55" s="34"/>
      <c r="Y55" s="35" t="s">
        <v>108</v>
      </c>
      <c r="Z55" s="35"/>
    </row>
    <row r="56" spans="1:26" s="1" customFormat="1" ht="13.5" customHeight="1">
      <c r="A56" s="29" t="s">
        <v>105</v>
      </c>
      <c r="B56" s="29"/>
      <c r="C56" s="29"/>
      <c r="D56" s="29"/>
      <c r="E56" s="29"/>
      <c r="F56" s="29"/>
      <c r="G56" s="29"/>
      <c r="H56" s="29"/>
      <c r="I56" s="30" t="s">
        <v>90</v>
      </c>
      <c r="J56" s="30"/>
      <c r="K56" s="30"/>
      <c r="L56" s="30" t="s">
        <v>118</v>
      </c>
      <c r="M56" s="30"/>
      <c r="N56" s="30"/>
      <c r="O56" s="31" t="s">
        <v>107</v>
      </c>
      <c r="P56" s="31"/>
      <c r="Q56" s="32">
        <f>14200</f>
        <v>14200</v>
      </c>
      <c r="R56" s="32"/>
      <c r="S56" s="32"/>
      <c r="T56" s="32">
        <f>8360</f>
        <v>8360</v>
      </c>
      <c r="U56" s="32"/>
      <c r="V56" s="32"/>
      <c r="W56" s="32"/>
      <c r="X56" s="32"/>
      <c r="Y56" s="33">
        <f>5840</f>
        <v>5840</v>
      </c>
      <c r="Z56" s="33"/>
    </row>
    <row r="57" spans="1:26" s="1" customFormat="1" ht="13.5" customHeight="1">
      <c r="A57" s="29" t="s">
        <v>105</v>
      </c>
      <c r="B57" s="29"/>
      <c r="C57" s="29"/>
      <c r="D57" s="29"/>
      <c r="E57" s="29"/>
      <c r="F57" s="29"/>
      <c r="G57" s="29"/>
      <c r="H57" s="29"/>
      <c r="I57" s="30" t="s">
        <v>90</v>
      </c>
      <c r="J57" s="30"/>
      <c r="K57" s="30"/>
      <c r="L57" s="30" t="s">
        <v>119</v>
      </c>
      <c r="M57" s="30"/>
      <c r="N57" s="30"/>
      <c r="O57" s="31" t="s">
        <v>107</v>
      </c>
      <c r="P57" s="31"/>
      <c r="Q57" s="32">
        <f>71500</f>
        <v>71500</v>
      </c>
      <c r="R57" s="32"/>
      <c r="S57" s="32"/>
      <c r="T57" s="32">
        <f>71457</f>
        <v>71457</v>
      </c>
      <c r="U57" s="32"/>
      <c r="V57" s="32"/>
      <c r="W57" s="32"/>
      <c r="X57" s="32"/>
      <c r="Y57" s="33">
        <f>43</f>
        <v>43</v>
      </c>
      <c r="Z57" s="33"/>
    </row>
    <row r="58" spans="1:26" s="1" customFormat="1" ht="13.5" customHeight="1">
      <c r="A58" s="29" t="s">
        <v>105</v>
      </c>
      <c r="B58" s="29"/>
      <c r="C58" s="29"/>
      <c r="D58" s="29"/>
      <c r="E58" s="29"/>
      <c r="F58" s="29"/>
      <c r="G58" s="29"/>
      <c r="H58" s="29"/>
      <c r="I58" s="30" t="s">
        <v>90</v>
      </c>
      <c r="J58" s="30"/>
      <c r="K58" s="30"/>
      <c r="L58" s="30" t="s">
        <v>120</v>
      </c>
      <c r="M58" s="30"/>
      <c r="N58" s="30"/>
      <c r="O58" s="31" t="s">
        <v>107</v>
      </c>
      <c r="P58" s="31"/>
      <c r="Q58" s="32">
        <f>12300</f>
        <v>12300</v>
      </c>
      <c r="R58" s="32"/>
      <c r="S58" s="32"/>
      <c r="T58" s="32">
        <f>7624</f>
        <v>7624</v>
      </c>
      <c r="U58" s="32"/>
      <c r="V58" s="32"/>
      <c r="W58" s="32"/>
      <c r="X58" s="32"/>
      <c r="Y58" s="33">
        <f>4676</f>
        <v>4676</v>
      </c>
      <c r="Z58" s="33"/>
    </row>
    <row r="59" spans="1:26" s="1" customFormat="1" ht="13.5" customHeight="1">
      <c r="A59" s="29" t="s">
        <v>91</v>
      </c>
      <c r="B59" s="29"/>
      <c r="C59" s="29"/>
      <c r="D59" s="29"/>
      <c r="E59" s="29"/>
      <c r="F59" s="29"/>
      <c r="G59" s="29"/>
      <c r="H59" s="29"/>
      <c r="I59" s="30" t="s">
        <v>90</v>
      </c>
      <c r="J59" s="30"/>
      <c r="K59" s="30"/>
      <c r="L59" s="30" t="s">
        <v>121</v>
      </c>
      <c r="M59" s="30"/>
      <c r="N59" s="30"/>
      <c r="O59" s="31" t="s">
        <v>93</v>
      </c>
      <c r="P59" s="31"/>
      <c r="Q59" s="32">
        <f>3025300</f>
        <v>3025300</v>
      </c>
      <c r="R59" s="32"/>
      <c r="S59" s="32"/>
      <c r="T59" s="32">
        <f>1384996.43</f>
        <v>1384996.43</v>
      </c>
      <c r="U59" s="32"/>
      <c r="V59" s="32"/>
      <c r="W59" s="32"/>
      <c r="X59" s="32"/>
      <c r="Y59" s="33">
        <f>1640303.57</f>
        <v>1640303.57</v>
      </c>
      <c r="Z59" s="33"/>
    </row>
    <row r="60" spans="1:26" s="1" customFormat="1" ht="13.5" customHeight="1">
      <c r="A60" s="29" t="s">
        <v>98</v>
      </c>
      <c r="B60" s="29"/>
      <c r="C60" s="29"/>
      <c r="D60" s="29"/>
      <c r="E60" s="29"/>
      <c r="F60" s="29"/>
      <c r="G60" s="29"/>
      <c r="H60" s="29"/>
      <c r="I60" s="30" t="s">
        <v>90</v>
      </c>
      <c r="J60" s="30"/>
      <c r="K60" s="30"/>
      <c r="L60" s="30" t="s">
        <v>122</v>
      </c>
      <c r="M60" s="30"/>
      <c r="N60" s="30"/>
      <c r="O60" s="31" t="s">
        <v>100</v>
      </c>
      <c r="P60" s="31"/>
      <c r="Q60" s="32">
        <f>67126</f>
        <v>67126</v>
      </c>
      <c r="R60" s="32"/>
      <c r="S60" s="32"/>
      <c r="T60" s="32">
        <f>15262.2</f>
        <v>15262.2</v>
      </c>
      <c r="U60" s="32"/>
      <c r="V60" s="32"/>
      <c r="W60" s="32"/>
      <c r="X60" s="32"/>
      <c r="Y60" s="33">
        <f>51863.8</f>
        <v>51863.8</v>
      </c>
      <c r="Z60" s="33"/>
    </row>
    <row r="61" spans="1:26" s="1" customFormat="1" ht="13.5" customHeight="1">
      <c r="A61" s="29" t="s">
        <v>94</v>
      </c>
      <c r="B61" s="29"/>
      <c r="C61" s="29"/>
      <c r="D61" s="29"/>
      <c r="E61" s="29"/>
      <c r="F61" s="29"/>
      <c r="G61" s="29"/>
      <c r="H61" s="29"/>
      <c r="I61" s="30" t="s">
        <v>90</v>
      </c>
      <c r="J61" s="30"/>
      <c r="K61" s="30"/>
      <c r="L61" s="30" t="s">
        <v>123</v>
      </c>
      <c r="M61" s="30"/>
      <c r="N61" s="30"/>
      <c r="O61" s="31" t="s">
        <v>96</v>
      </c>
      <c r="P61" s="31"/>
      <c r="Q61" s="32">
        <f>956400</f>
        <v>956400</v>
      </c>
      <c r="R61" s="32"/>
      <c r="S61" s="32"/>
      <c r="T61" s="32">
        <f>315249.88</f>
        <v>315249.88</v>
      </c>
      <c r="U61" s="32"/>
      <c r="V61" s="32"/>
      <c r="W61" s="32"/>
      <c r="X61" s="32"/>
      <c r="Y61" s="33">
        <f>641150.12</f>
        <v>641150.12</v>
      </c>
      <c r="Z61" s="33"/>
    </row>
    <row r="62" spans="1:26" s="1" customFormat="1" ht="13.5" customHeight="1">
      <c r="A62" s="29" t="s">
        <v>124</v>
      </c>
      <c r="B62" s="29"/>
      <c r="C62" s="29"/>
      <c r="D62" s="29"/>
      <c r="E62" s="29"/>
      <c r="F62" s="29"/>
      <c r="G62" s="29"/>
      <c r="H62" s="29"/>
      <c r="I62" s="30" t="s">
        <v>90</v>
      </c>
      <c r="J62" s="30"/>
      <c r="K62" s="30"/>
      <c r="L62" s="30" t="s">
        <v>125</v>
      </c>
      <c r="M62" s="30"/>
      <c r="N62" s="30"/>
      <c r="O62" s="31" t="s">
        <v>126</v>
      </c>
      <c r="P62" s="31"/>
      <c r="Q62" s="32">
        <f>329210</f>
        <v>329210</v>
      </c>
      <c r="R62" s="32"/>
      <c r="S62" s="32"/>
      <c r="T62" s="32">
        <f>155017.17</f>
        <v>155017.17</v>
      </c>
      <c r="U62" s="32"/>
      <c r="V62" s="32"/>
      <c r="W62" s="32"/>
      <c r="X62" s="32"/>
      <c r="Y62" s="33">
        <f>174192.83</f>
        <v>174192.83</v>
      </c>
      <c r="Z62" s="33"/>
    </row>
    <row r="63" spans="1:26" s="1" customFormat="1" ht="13.5" customHeight="1">
      <c r="A63" s="29" t="s">
        <v>124</v>
      </c>
      <c r="B63" s="29"/>
      <c r="C63" s="29"/>
      <c r="D63" s="29"/>
      <c r="E63" s="29"/>
      <c r="F63" s="29"/>
      <c r="G63" s="29"/>
      <c r="H63" s="29"/>
      <c r="I63" s="30" t="s">
        <v>90</v>
      </c>
      <c r="J63" s="30"/>
      <c r="K63" s="30"/>
      <c r="L63" s="30" t="s">
        <v>127</v>
      </c>
      <c r="M63" s="30"/>
      <c r="N63" s="30"/>
      <c r="O63" s="31" t="s">
        <v>126</v>
      </c>
      <c r="P63" s="31"/>
      <c r="Q63" s="32">
        <f>50000</f>
        <v>50000</v>
      </c>
      <c r="R63" s="32"/>
      <c r="S63" s="32"/>
      <c r="T63" s="32">
        <f>15000</f>
        <v>15000</v>
      </c>
      <c r="U63" s="32"/>
      <c r="V63" s="32"/>
      <c r="W63" s="32"/>
      <c r="X63" s="32"/>
      <c r="Y63" s="33">
        <f>35000</f>
        <v>35000</v>
      </c>
      <c r="Z63" s="33"/>
    </row>
    <row r="64" spans="1:26" s="1" customFormat="1" ht="13.5" customHeight="1">
      <c r="A64" s="29" t="s">
        <v>128</v>
      </c>
      <c r="B64" s="29"/>
      <c r="C64" s="29"/>
      <c r="D64" s="29"/>
      <c r="E64" s="29"/>
      <c r="F64" s="29"/>
      <c r="G64" s="29"/>
      <c r="H64" s="29"/>
      <c r="I64" s="30" t="s">
        <v>90</v>
      </c>
      <c r="J64" s="30"/>
      <c r="K64" s="30"/>
      <c r="L64" s="30" t="s">
        <v>127</v>
      </c>
      <c r="M64" s="30"/>
      <c r="N64" s="30"/>
      <c r="O64" s="31" t="s">
        <v>129</v>
      </c>
      <c r="P64" s="31"/>
      <c r="Q64" s="32">
        <f>102500</f>
        <v>102500</v>
      </c>
      <c r="R64" s="32"/>
      <c r="S64" s="32"/>
      <c r="T64" s="32">
        <f>80195</f>
        <v>80195</v>
      </c>
      <c r="U64" s="32"/>
      <c r="V64" s="32"/>
      <c r="W64" s="32"/>
      <c r="X64" s="32"/>
      <c r="Y64" s="33">
        <f>22305</f>
        <v>22305</v>
      </c>
      <c r="Z64" s="33"/>
    </row>
    <row r="65" spans="1:26" s="1" customFormat="1" ht="13.5" customHeight="1">
      <c r="A65" s="29" t="s">
        <v>130</v>
      </c>
      <c r="B65" s="29"/>
      <c r="C65" s="29"/>
      <c r="D65" s="29"/>
      <c r="E65" s="29"/>
      <c r="F65" s="29"/>
      <c r="G65" s="29"/>
      <c r="H65" s="29"/>
      <c r="I65" s="30" t="s">
        <v>90</v>
      </c>
      <c r="J65" s="30"/>
      <c r="K65" s="30"/>
      <c r="L65" s="30" t="s">
        <v>127</v>
      </c>
      <c r="M65" s="30"/>
      <c r="N65" s="30"/>
      <c r="O65" s="31" t="s">
        <v>131</v>
      </c>
      <c r="P65" s="31"/>
      <c r="Q65" s="32">
        <f>2100000</f>
        <v>2100000</v>
      </c>
      <c r="R65" s="32"/>
      <c r="S65" s="32"/>
      <c r="T65" s="32">
        <f>790131.59</f>
        <v>790131.59</v>
      </c>
      <c r="U65" s="32"/>
      <c r="V65" s="32"/>
      <c r="W65" s="32"/>
      <c r="X65" s="32"/>
      <c r="Y65" s="33">
        <f>1309868.41</f>
        <v>1309868.41</v>
      </c>
      <c r="Z65" s="33"/>
    </row>
    <row r="66" spans="1:26" s="1" customFormat="1" ht="13.5" customHeight="1">
      <c r="A66" s="29" t="s">
        <v>132</v>
      </c>
      <c r="B66" s="29"/>
      <c r="C66" s="29"/>
      <c r="D66" s="29"/>
      <c r="E66" s="29"/>
      <c r="F66" s="29"/>
      <c r="G66" s="29"/>
      <c r="H66" s="29"/>
      <c r="I66" s="30" t="s">
        <v>90</v>
      </c>
      <c r="J66" s="30"/>
      <c r="K66" s="30"/>
      <c r="L66" s="30" t="s">
        <v>127</v>
      </c>
      <c r="M66" s="30"/>
      <c r="N66" s="30"/>
      <c r="O66" s="31" t="s">
        <v>133</v>
      </c>
      <c r="P66" s="31"/>
      <c r="Q66" s="32">
        <f>161400</f>
        <v>161400</v>
      </c>
      <c r="R66" s="32"/>
      <c r="S66" s="32"/>
      <c r="T66" s="32">
        <f>45400</f>
        <v>45400</v>
      </c>
      <c r="U66" s="32"/>
      <c r="V66" s="32"/>
      <c r="W66" s="32"/>
      <c r="X66" s="32"/>
      <c r="Y66" s="33">
        <f>116000</f>
        <v>116000</v>
      </c>
      <c r="Z66" s="33"/>
    </row>
    <row r="67" spans="1:26" s="1" customFormat="1" ht="13.5" customHeight="1">
      <c r="A67" s="29" t="s">
        <v>110</v>
      </c>
      <c r="B67" s="29"/>
      <c r="C67" s="29"/>
      <c r="D67" s="29"/>
      <c r="E67" s="29"/>
      <c r="F67" s="29"/>
      <c r="G67" s="29"/>
      <c r="H67" s="29"/>
      <c r="I67" s="30" t="s">
        <v>90</v>
      </c>
      <c r="J67" s="30"/>
      <c r="K67" s="30"/>
      <c r="L67" s="30" t="s">
        <v>127</v>
      </c>
      <c r="M67" s="30"/>
      <c r="N67" s="30"/>
      <c r="O67" s="31" t="s">
        <v>112</v>
      </c>
      <c r="P67" s="31"/>
      <c r="Q67" s="32">
        <f>162800</f>
        <v>162800</v>
      </c>
      <c r="R67" s="32"/>
      <c r="S67" s="32"/>
      <c r="T67" s="32">
        <f>105575.28</f>
        <v>105575.28</v>
      </c>
      <c r="U67" s="32"/>
      <c r="V67" s="32"/>
      <c r="W67" s="32"/>
      <c r="X67" s="32"/>
      <c r="Y67" s="33">
        <f>57224.72</f>
        <v>57224.72</v>
      </c>
      <c r="Z67" s="33"/>
    </row>
    <row r="68" spans="1:26" s="1" customFormat="1" ht="13.5" customHeight="1">
      <c r="A68" s="29" t="s">
        <v>113</v>
      </c>
      <c r="B68" s="29"/>
      <c r="C68" s="29"/>
      <c r="D68" s="29"/>
      <c r="E68" s="29"/>
      <c r="F68" s="29"/>
      <c r="G68" s="29"/>
      <c r="H68" s="29"/>
      <c r="I68" s="30" t="s">
        <v>90</v>
      </c>
      <c r="J68" s="30"/>
      <c r="K68" s="30"/>
      <c r="L68" s="30" t="s">
        <v>127</v>
      </c>
      <c r="M68" s="30"/>
      <c r="N68" s="30"/>
      <c r="O68" s="31" t="s">
        <v>114</v>
      </c>
      <c r="P68" s="31"/>
      <c r="Q68" s="32">
        <f>970075</f>
        <v>970075</v>
      </c>
      <c r="R68" s="32"/>
      <c r="S68" s="32"/>
      <c r="T68" s="32">
        <f>406894.69</f>
        <v>406894.69</v>
      </c>
      <c r="U68" s="32"/>
      <c r="V68" s="32"/>
      <c r="W68" s="32"/>
      <c r="X68" s="32"/>
      <c r="Y68" s="33">
        <f>563180.31</f>
        <v>563180.31</v>
      </c>
      <c r="Z68" s="33"/>
    </row>
    <row r="69" spans="1:26" s="1" customFormat="1" ht="13.5" customHeight="1">
      <c r="A69" s="29" t="s">
        <v>105</v>
      </c>
      <c r="B69" s="29"/>
      <c r="C69" s="29"/>
      <c r="D69" s="29"/>
      <c r="E69" s="29"/>
      <c r="F69" s="29"/>
      <c r="G69" s="29"/>
      <c r="H69" s="29"/>
      <c r="I69" s="30" t="s">
        <v>90</v>
      </c>
      <c r="J69" s="30"/>
      <c r="K69" s="30"/>
      <c r="L69" s="30" t="s">
        <v>127</v>
      </c>
      <c r="M69" s="30"/>
      <c r="N69" s="30"/>
      <c r="O69" s="31" t="s">
        <v>107</v>
      </c>
      <c r="P69" s="31"/>
      <c r="Q69" s="32">
        <f>15000</f>
        <v>15000</v>
      </c>
      <c r="R69" s="32"/>
      <c r="S69" s="32"/>
      <c r="T69" s="32">
        <f>5912.55</f>
        <v>5912.55</v>
      </c>
      <c r="U69" s="32"/>
      <c r="V69" s="32"/>
      <c r="W69" s="32"/>
      <c r="X69" s="32"/>
      <c r="Y69" s="33">
        <f>9087.45</f>
        <v>9087.45</v>
      </c>
      <c r="Z69" s="33"/>
    </row>
    <row r="70" spans="1:26" s="1" customFormat="1" ht="13.5" customHeight="1">
      <c r="A70" s="29" t="s">
        <v>115</v>
      </c>
      <c r="B70" s="29"/>
      <c r="C70" s="29"/>
      <c r="D70" s="29"/>
      <c r="E70" s="29"/>
      <c r="F70" s="29"/>
      <c r="G70" s="29"/>
      <c r="H70" s="29"/>
      <c r="I70" s="30" t="s">
        <v>90</v>
      </c>
      <c r="J70" s="30"/>
      <c r="K70" s="30"/>
      <c r="L70" s="30" t="s">
        <v>127</v>
      </c>
      <c r="M70" s="30"/>
      <c r="N70" s="30"/>
      <c r="O70" s="31" t="s">
        <v>116</v>
      </c>
      <c r="P70" s="31"/>
      <c r="Q70" s="32">
        <f>522300</f>
        <v>522300</v>
      </c>
      <c r="R70" s="32"/>
      <c r="S70" s="32"/>
      <c r="T70" s="32">
        <f>303636.35</f>
        <v>303636.35</v>
      </c>
      <c r="U70" s="32"/>
      <c r="V70" s="32"/>
      <c r="W70" s="32"/>
      <c r="X70" s="32"/>
      <c r="Y70" s="33">
        <f>218663.65</f>
        <v>218663.65</v>
      </c>
      <c r="Z70" s="33"/>
    </row>
    <row r="71" spans="1:26" s="1" customFormat="1" ht="13.5" customHeight="1">
      <c r="A71" s="29" t="s">
        <v>105</v>
      </c>
      <c r="B71" s="29"/>
      <c r="C71" s="29"/>
      <c r="D71" s="29"/>
      <c r="E71" s="29"/>
      <c r="F71" s="29"/>
      <c r="G71" s="29"/>
      <c r="H71" s="29"/>
      <c r="I71" s="30" t="s">
        <v>90</v>
      </c>
      <c r="J71" s="30"/>
      <c r="K71" s="30"/>
      <c r="L71" s="30" t="s">
        <v>134</v>
      </c>
      <c r="M71" s="30"/>
      <c r="N71" s="30"/>
      <c r="O71" s="31" t="s">
        <v>107</v>
      </c>
      <c r="P71" s="31"/>
      <c r="Q71" s="32">
        <f>630000</f>
        <v>630000</v>
      </c>
      <c r="R71" s="32"/>
      <c r="S71" s="32"/>
      <c r="T71" s="32">
        <f>367029</f>
        <v>367029</v>
      </c>
      <c r="U71" s="32"/>
      <c r="V71" s="32"/>
      <c r="W71" s="32"/>
      <c r="X71" s="32"/>
      <c r="Y71" s="33">
        <f>262971</f>
        <v>262971</v>
      </c>
      <c r="Z71" s="33"/>
    </row>
    <row r="72" spans="1:26" s="1" customFormat="1" ht="13.5" customHeight="1">
      <c r="A72" s="29" t="s">
        <v>105</v>
      </c>
      <c r="B72" s="29"/>
      <c r="C72" s="29"/>
      <c r="D72" s="29"/>
      <c r="E72" s="29"/>
      <c r="F72" s="29"/>
      <c r="G72" s="29"/>
      <c r="H72" s="29"/>
      <c r="I72" s="30" t="s">
        <v>90</v>
      </c>
      <c r="J72" s="30"/>
      <c r="K72" s="30"/>
      <c r="L72" s="30" t="s">
        <v>135</v>
      </c>
      <c r="M72" s="30"/>
      <c r="N72" s="30"/>
      <c r="O72" s="31" t="s">
        <v>107</v>
      </c>
      <c r="P72" s="31"/>
      <c r="Q72" s="32">
        <f>0</f>
        <v>0</v>
      </c>
      <c r="R72" s="32"/>
      <c r="S72" s="32"/>
      <c r="T72" s="32">
        <f>0</f>
        <v>0</v>
      </c>
      <c r="U72" s="32"/>
      <c r="V72" s="32"/>
      <c r="W72" s="32"/>
      <c r="X72" s="32"/>
      <c r="Y72" s="35" t="s">
        <v>108</v>
      </c>
      <c r="Z72" s="35"/>
    </row>
    <row r="73" spans="1:26" s="1" customFormat="1" ht="13.5" customHeight="1">
      <c r="A73" s="29" t="s">
        <v>105</v>
      </c>
      <c r="B73" s="29"/>
      <c r="C73" s="29"/>
      <c r="D73" s="29"/>
      <c r="E73" s="29"/>
      <c r="F73" s="29"/>
      <c r="G73" s="29"/>
      <c r="H73" s="29"/>
      <c r="I73" s="30" t="s">
        <v>90</v>
      </c>
      <c r="J73" s="30"/>
      <c r="K73" s="30"/>
      <c r="L73" s="30" t="s">
        <v>136</v>
      </c>
      <c r="M73" s="30"/>
      <c r="N73" s="30"/>
      <c r="O73" s="31" t="s">
        <v>107</v>
      </c>
      <c r="P73" s="31"/>
      <c r="Q73" s="32">
        <f>4000</f>
        <v>4000</v>
      </c>
      <c r="R73" s="32"/>
      <c r="S73" s="32"/>
      <c r="T73" s="32">
        <f>1624</f>
        <v>1624</v>
      </c>
      <c r="U73" s="32"/>
      <c r="V73" s="32"/>
      <c r="W73" s="32"/>
      <c r="X73" s="32"/>
      <c r="Y73" s="33">
        <f>2376</f>
        <v>2376</v>
      </c>
      <c r="Z73" s="33"/>
    </row>
    <row r="74" spans="1:26" s="1" customFormat="1" ht="13.5" customHeight="1">
      <c r="A74" s="29" t="s">
        <v>102</v>
      </c>
      <c r="B74" s="29"/>
      <c r="C74" s="29"/>
      <c r="D74" s="29"/>
      <c r="E74" s="29"/>
      <c r="F74" s="29"/>
      <c r="G74" s="29"/>
      <c r="H74" s="29"/>
      <c r="I74" s="30" t="s">
        <v>90</v>
      </c>
      <c r="J74" s="30"/>
      <c r="K74" s="30"/>
      <c r="L74" s="30" t="s">
        <v>137</v>
      </c>
      <c r="M74" s="30"/>
      <c r="N74" s="30"/>
      <c r="O74" s="31" t="s">
        <v>104</v>
      </c>
      <c r="P74" s="31"/>
      <c r="Q74" s="32">
        <f>120000</f>
        <v>120000</v>
      </c>
      <c r="R74" s="32"/>
      <c r="S74" s="32"/>
      <c r="T74" s="32">
        <f>120000</f>
        <v>120000</v>
      </c>
      <c r="U74" s="32"/>
      <c r="V74" s="32"/>
      <c r="W74" s="32"/>
      <c r="X74" s="32"/>
      <c r="Y74" s="33">
        <f>0</f>
        <v>0</v>
      </c>
      <c r="Z74" s="33"/>
    </row>
    <row r="75" spans="1:26" s="1" customFormat="1" ht="13.5" customHeight="1">
      <c r="A75" s="29" t="s">
        <v>91</v>
      </c>
      <c r="B75" s="29"/>
      <c r="C75" s="29"/>
      <c r="D75" s="29"/>
      <c r="E75" s="29"/>
      <c r="F75" s="29"/>
      <c r="G75" s="29"/>
      <c r="H75" s="29"/>
      <c r="I75" s="30" t="s">
        <v>90</v>
      </c>
      <c r="J75" s="30"/>
      <c r="K75" s="30"/>
      <c r="L75" s="30" t="s">
        <v>138</v>
      </c>
      <c r="M75" s="30"/>
      <c r="N75" s="30"/>
      <c r="O75" s="31" t="s">
        <v>93</v>
      </c>
      <c r="P75" s="31"/>
      <c r="Q75" s="32">
        <f>290476</f>
        <v>290476</v>
      </c>
      <c r="R75" s="32"/>
      <c r="S75" s="32"/>
      <c r="T75" s="32">
        <f>108258</f>
        <v>108258</v>
      </c>
      <c r="U75" s="32"/>
      <c r="V75" s="32"/>
      <c r="W75" s="32"/>
      <c r="X75" s="32"/>
      <c r="Y75" s="33">
        <f>182218</f>
        <v>182218</v>
      </c>
      <c r="Z75" s="33"/>
    </row>
    <row r="76" spans="1:26" s="1" customFormat="1" ht="13.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30" t="s">
        <v>90</v>
      </c>
      <c r="J76" s="30"/>
      <c r="K76" s="30"/>
      <c r="L76" s="30" t="s">
        <v>139</v>
      </c>
      <c r="M76" s="30"/>
      <c r="N76" s="30"/>
      <c r="O76" s="31" t="s">
        <v>96</v>
      </c>
      <c r="P76" s="31"/>
      <c r="Q76" s="32">
        <f>87724</f>
        <v>87724</v>
      </c>
      <c r="R76" s="32"/>
      <c r="S76" s="32"/>
      <c r="T76" s="32">
        <f>25967.34</f>
        <v>25967.34</v>
      </c>
      <c r="U76" s="32"/>
      <c r="V76" s="32"/>
      <c r="W76" s="32"/>
      <c r="X76" s="32"/>
      <c r="Y76" s="33">
        <f>61756.66</f>
        <v>61756.66</v>
      </c>
      <c r="Z76" s="33"/>
    </row>
    <row r="77" spans="1:26" s="1" customFormat="1" ht="13.5" customHeight="1">
      <c r="A77" s="29" t="s">
        <v>91</v>
      </c>
      <c r="B77" s="29"/>
      <c r="C77" s="29"/>
      <c r="D77" s="29"/>
      <c r="E77" s="29"/>
      <c r="F77" s="29"/>
      <c r="G77" s="29"/>
      <c r="H77" s="29"/>
      <c r="I77" s="30" t="s">
        <v>90</v>
      </c>
      <c r="J77" s="30"/>
      <c r="K77" s="30"/>
      <c r="L77" s="30" t="s">
        <v>140</v>
      </c>
      <c r="M77" s="30"/>
      <c r="N77" s="30"/>
      <c r="O77" s="31" t="s">
        <v>93</v>
      </c>
      <c r="P77" s="31"/>
      <c r="Q77" s="32">
        <f>73200</f>
        <v>73200</v>
      </c>
      <c r="R77" s="32"/>
      <c r="S77" s="32"/>
      <c r="T77" s="32">
        <f>43571</f>
        <v>43571</v>
      </c>
      <c r="U77" s="32"/>
      <c r="V77" s="32"/>
      <c r="W77" s="32"/>
      <c r="X77" s="32"/>
      <c r="Y77" s="33">
        <f>29629</f>
        <v>29629</v>
      </c>
      <c r="Z77" s="33"/>
    </row>
    <row r="78" spans="1:26" s="1" customFormat="1" ht="13.5" customHeight="1">
      <c r="A78" s="29" t="s">
        <v>94</v>
      </c>
      <c r="B78" s="29"/>
      <c r="C78" s="29"/>
      <c r="D78" s="29"/>
      <c r="E78" s="29"/>
      <c r="F78" s="29"/>
      <c r="G78" s="29"/>
      <c r="H78" s="29"/>
      <c r="I78" s="30" t="s">
        <v>90</v>
      </c>
      <c r="J78" s="30"/>
      <c r="K78" s="30"/>
      <c r="L78" s="30" t="s">
        <v>141</v>
      </c>
      <c r="M78" s="30"/>
      <c r="N78" s="30"/>
      <c r="O78" s="31" t="s">
        <v>96</v>
      </c>
      <c r="P78" s="31"/>
      <c r="Q78" s="32">
        <f>22100</f>
        <v>22100</v>
      </c>
      <c r="R78" s="32"/>
      <c r="S78" s="32"/>
      <c r="T78" s="32">
        <f>10819</f>
        <v>10819</v>
      </c>
      <c r="U78" s="32"/>
      <c r="V78" s="32"/>
      <c r="W78" s="32"/>
      <c r="X78" s="32"/>
      <c r="Y78" s="33">
        <f>11281</f>
        <v>11281</v>
      </c>
      <c r="Z78" s="33"/>
    </row>
    <row r="79" spans="1:26" s="1" customFormat="1" ht="13.5" customHeight="1">
      <c r="A79" s="29" t="s">
        <v>91</v>
      </c>
      <c r="B79" s="29"/>
      <c r="C79" s="29"/>
      <c r="D79" s="29"/>
      <c r="E79" s="29"/>
      <c r="F79" s="29"/>
      <c r="G79" s="29"/>
      <c r="H79" s="29"/>
      <c r="I79" s="30" t="s">
        <v>90</v>
      </c>
      <c r="J79" s="30"/>
      <c r="K79" s="30"/>
      <c r="L79" s="30" t="s">
        <v>142</v>
      </c>
      <c r="M79" s="30"/>
      <c r="N79" s="30"/>
      <c r="O79" s="31" t="s">
        <v>93</v>
      </c>
      <c r="P79" s="31"/>
      <c r="Q79" s="32">
        <f>36600</f>
        <v>36600</v>
      </c>
      <c r="R79" s="32"/>
      <c r="S79" s="32"/>
      <c r="T79" s="32">
        <f>15174</f>
        <v>15174</v>
      </c>
      <c r="U79" s="32"/>
      <c r="V79" s="32"/>
      <c r="W79" s="32"/>
      <c r="X79" s="32"/>
      <c r="Y79" s="33">
        <f>21426</f>
        <v>21426</v>
      </c>
      <c r="Z79" s="33"/>
    </row>
    <row r="80" spans="1:26" s="1" customFormat="1" ht="13.5" customHeight="1">
      <c r="A80" s="29" t="s">
        <v>94</v>
      </c>
      <c r="B80" s="29"/>
      <c r="C80" s="29"/>
      <c r="D80" s="29"/>
      <c r="E80" s="29"/>
      <c r="F80" s="29"/>
      <c r="G80" s="29"/>
      <c r="H80" s="29"/>
      <c r="I80" s="30" t="s">
        <v>90</v>
      </c>
      <c r="J80" s="30"/>
      <c r="K80" s="30"/>
      <c r="L80" s="30" t="s">
        <v>143</v>
      </c>
      <c r="M80" s="30"/>
      <c r="N80" s="30"/>
      <c r="O80" s="31" t="s">
        <v>96</v>
      </c>
      <c r="P80" s="31"/>
      <c r="Q80" s="32">
        <f>11000</f>
        <v>11000</v>
      </c>
      <c r="R80" s="32"/>
      <c r="S80" s="32"/>
      <c r="T80" s="32">
        <f>4661</f>
        <v>4661</v>
      </c>
      <c r="U80" s="32"/>
      <c r="V80" s="32"/>
      <c r="W80" s="32"/>
      <c r="X80" s="32"/>
      <c r="Y80" s="33">
        <f>6339</f>
        <v>6339</v>
      </c>
      <c r="Z80" s="33"/>
    </row>
    <row r="81" spans="1:26" s="1" customFormat="1" ht="13.5" customHeight="1">
      <c r="A81" s="29" t="s">
        <v>105</v>
      </c>
      <c r="B81" s="29"/>
      <c r="C81" s="29"/>
      <c r="D81" s="29"/>
      <c r="E81" s="29"/>
      <c r="F81" s="29"/>
      <c r="G81" s="29"/>
      <c r="H81" s="29"/>
      <c r="I81" s="30" t="s">
        <v>90</v>
      </c>
      <c r="J81" s="30"/>
      <c r="K81" s="30"/>
      <c r="L81" s="30" t="s">
        <v>144</v>
      </c>
      <c r="M81" s="30"/>
      <c r="N81" s="30"/>
      <c r="O81" s="31" t="s">
        <v>107</v>
      </c>
      <c r="P81" s="31"/>
      <c r="Q81" s="32">
        <f>20040</f>
        <v>20040</v>
      </c>
      <c r="R81" s="32"/>
      <c r="S81" s="32"/>
      <c r="T81" s="34" t="s">
        <v>108</v>
      </c>
      <c r="U81" s="34"/>
      <c r="V81" s="34"/>
      <c r="W81" s="34"/>
      <c r="X81" s="34"/>
      <c r="Y81" s="33">
        <f>20040</f>
        <v>20040</v>
      </c>
      <c r="Z81" s="33"/>
    </row>
    <row r="82" spans="1:26" s="1" customFormat="1" ht="13.5" customHeight="1">
      <c r="A82" s="29" t="s">
        <v>105</v>
      </c>
      <c r="B82" s="29"/>
      <c r="C82" s="29"/>
      <c r="D82" s="29"/>
      <c r="E82" s="29"/>
      <c r="F82" s="29"/>
      <c r="G82" s="29"/>
      <c r="H82" s="29"/>
      <c r="I82" s="30" t="s">
        <v>90</v>
      </c>
      <c r="J82" s="30"/>
      <c r="K82" s="30"/>
      <c r="L82" s="30" t="s">
        <v>145</v>
      </c>
      <c r="M82" s="30"/>
      <c r="N82" s="30"/>
      <c r="O82" s="31" t="s">
        <v>107</v>
      </c>
      <c r="P82" s="31"/>
      <c r="Q82" s="32">
        <f>8590</f>
        <v>8590</v>
      </c>
      <c r="R82" s="32"/>
      <c r="S82" s="32"/>
      <c r="T82" s="34" t="s">
        <v>108</v>
      </c>
      <c r="U82" s="34"/>
      <c r="V82" s="34"/>
      <c r="W82" s="34"/>
      <c r="X82" s="34"/>
      <c r="Y82" s="33">
        <f>8590</f>
        <v>8590</v>
      </c>
      <c r="Z82" s="33"/>
    </row>
    <row r="83" spans="1:26" s="1" customFormat="1" ht="13.5" customHeight="1">
      <c r="A83" s="29" t="s">
        <v>113</v>
      </c>
      <c r="B83" s="29"/>
      <c r="C83" s="29"/>
      <c r="D83" s="29"/>
      <c r="E83" s="29"/>
      <c r="F83" s="29"/>
      <c r="G83" s="29"/>
      <c r="H83" s="29"/>
      <c r="I83" s="30" t="s">
        <v>90</v>
      </c>
      <c r="J83" s="30"/>
      <c r="K83" s="30"/>
      <c r="L83" s="30" t="s">
        <v>146</v>
      </c>
      <c r="M83" s="30"/>
      <c r="N83" s="30"/>
      <c r="O83" s="31" t="s">
        <v>114</v>
      </c>
      <c r="P83" s="31"/>
      <c r="Q83" s="32">
        <f>1546276</f>
        <v>1546276</v>
      </c>
      <c r="R83" s="32"/>
      <c r="S83" s="32"/>
      <c r="T83" s="32">
        <f>255265.87</f>
        <v>255265.87</v>
      </c>
      <c r="U83" s="32"/>
      <c r="V83" s="32"/>
      <c r="W83" s="32"/>
      <c r="X83" s="32"/>
      <c r="Y83" s="33">
        <f>1291010.13</f>
        <v>1291010.13</v>
      </c>
      <c r="Z83" s="33"/>
    </row>
    <row r="84" spans="1:26" s="1" customFormat="1" ht="24" customHeight="1">
      <c r="A84" s="29" t="s">
        <v>147</v>
      </c>
      <c r="B84" s="29"/>
      <c r="C84" s="29"/>
      <c r="D84" s="29"/>
      <c r="E84" s="29"/>
      <c r="F84" s="29"/>
      <c r="G84" s="29"/>
      <c r="H84" s="29"/>
      <c r="I84" s="30" t="s">
        <v>90</v>
      </c>
      <c r="J84" s="30"/>
      <c r="K84" s="30"/>
      <c r="L84" s="30" t="s">
        <v>148</v>
      </c>
      <c r="M84" s="30"/>
      <c r="N84" s="30"/>
      <c r="O84" s="31" t="s">
        <v>149</v>
      </c>
      <c r="P84" s="31"/>
      <c r="Q84" s="32">
        <f>254540</f>
        <v>254540</v>
      </c>
      <c r="R84" s="32"/>
      <c r="S84" s="32"/>
      <c r="T84" s="32">
        <f>24181.26</f>
        <v>24181.26</v>
      </c>
      <c r="U84" s="32"/>
      <c r="V84" s="32"/>
      <c r="W84" s="32"/>
      <c r="X84" s="32"/>
      <c r="Y84" s="33">
        <f>230358.74</f>
        <v>230358.74</v>
      </c>
      <c r="Z84" s="33"/>
    </row>
    <row r="85" spans="1:26" s="1" customFormat="1" ht="13.5" customHeight="1">
      <c r="A85" s="29" t="s">
        <v>110</v>
      </c>
      <c r="B85" s="29"/>
      <c r="C85" s="29"/>
      <c r="D85" s="29"/>
      <c r="E85" s="29"/>
      <c r="F85" s="29"/>
      <c r="G85" s="29"/>
      <c r="H85" s="29"/>
      <c r="I85" s="30" t="s">
        <v>90</v>
      </c>
      <c r="J85" s="30"/>
      <c r="K85" s="30"/>
      <c r="L85" s="30" t="s">
        <v>150</v>
      </c>
      <c r="M85" s="30"/>
      <c r="N85" s="30"/>
      <c r="O85" s="31" t="s">
        <v>112</v>
      </c>
      <c r="P85" s="31"/>
      <c r="Q85" s="32">
        <f>12616360.84</f>
        <v>12616360.84</v>
      </c>
      <c r="R85" s="32"/>
      <c r="S85" s="32"/>
      <c r="T85" s="32">
        <f>3568165.91</f>
        <v>3568165.91</v>
      </c>
      <c r="U85" s="32"/>
      <c r="V85" s="32"/>
      <c r="W85" s="32"/>
      <c r="X85" s="32"/>
      <c r="Y85" s="33">
        <f>9048194.93</f>
        <v>9048194.93</v>
      </c>
      <c r="Z85" s="33"/>
    </row>
    <row r="86" spans="1:26" s="1" customFormat="1" ht="13.5" customHeight="1">
      <c r="A86" s="29" t="s">
        <v>124</v>
      </c>
      <c r="B86" s="29"/>
      <c r="C86" s="29"/>
      <c r="D86" s="29"/>
      <c r="E86" s="29"/>
      <c r="F86" s="29"/>
      <c r="G86" s="29"/>
      <c r="H86" s="29"/>
      <c r="I86" s="30" t="s">
        <v>90</v>
      </c>
      <c r="J86" s="30"/>
      <c r="K86" s="30"/>
      <c r="L86" s="30" t="s">
        <v>151</v>
      </c>
      <c r="M86" s="30"/>
      <c r="N86" s="30"/>
      <c r="O86" s="31" t="s">
        <v>126</v>
      </c>
      <c r="P86" s="31"/>
      <c r="Q86" s="32">
        <f>20000</f>
        <v>20000</v>
      </c>
      <c r="R86" s="32"/>
      <c r="S86" s="32"/>
      <c r="T86" s="32">
        <f>5485</f>
        <v>5485</v>
      </c>
      <c r="U86" s="32"/>
      <c r="V86" s="32"/>
      <c r="W86" s="32"/>
      <c r="X86" s="32"/>
      <c r="Y86" s="33">
        <f>14515</f>
        <v>14515</v>
      </c>
      <c r="Z86" s="33"/>
    </row>
    <row r="87" spans="1:26" s="1" customFormat="1" ht="13.5" customHeight="1">
      <c r="A87" s="29" t="s">
        <v>113</v>
      </c>
      <c r="B87" s="29"/>
      <c r="C87" s="29"/>
      <c r="D87" s="29"/>
      <c r="E87" s="29"/>
      <c r="F87" s="29"/>
      <c r="G87" s="29"/>
      <c r="H87" s="29"/>
      <c r="I87" s="30" t="s">
        <v>90</v>
      </c>
      <c r="J87" s="30"/>
      <c r="K87" s="30"/>
      <c r="L87" s="30" t="s">
        <v>151</v>
      </c>
      <c r="M87" s="30"/>
      <c r="N87" s="30"/>
      <c r="O87" s="31" t="s">
        <v>114</v>
      </c>
      <c r="P87" s="31"/>
      <c r="Q87" s="32">
        <f>193034.71</f>
        <v>193034.71</v>
      </c>
      <c r="R87" s="32"/>
      <c r="S87" s="32"/>
      <c r="T87" s="32">
        <f>76321</f>
        <v>76321</v>
      </c>
      <c r="U87" s="32"/>
      <c r="V87" s="32"/>
      <c r="W87" s="32"/>
      <c r="X87" s="32"/>
      <c r="Y87" s="33">
        <f>116713.71</f>
        <v>116713.71</v>
      </c>
      <c r="Z87" s="33"/>
    </row>
    <row r="88" spans="1:26" s="1" customFormat="1" ht="13.5" customHeight="1">
      <c r="A88" s="29" t="s">
        <v>110</v>
      </c>
      <c r="B88" s="29"/>
      <c r="C88" s="29"/>
      <c r="D88" s="29"/>
      <c r="E88" s="29"/>
      <c r="F88" s="29"/>
      <c r="G88" s="29"/>
      <c r="H88" s="29"/>
      <c r="I88" s="30" t="s">
        <v>90</v>
      </c>
      <c r="J88" s="30"/>
      <c r="K88" s="30"/>
      <c r="L88" s="30" t="s">
        <v>152</v>
      </c>
      <c r="M88" s="30"/>
      <c r="N88" s="30"/>
      <c r="O88" s="31" t="s">
        <v>112</v>
      </c>
      <c r="P88" s="31"/>
      <c r="Q88" s="32">
        <f>476400</f>
        <v>476400</v>
      </c>
      <c r="R88" s="32"/>
      <c r="S88" s="32"/>
      <c r="T88" s="34" t="s">
        <v>108</v>
      </c>
      <c r="U88" s="34"/>
      <c r="V88" s="34"/>
      <c r="W88" s="34"/>
      <c r="X88" s="34"/>
      <c r="Y88" s="33">
        <f>476400</f>
        <v>476400</v>
      </c>
      <c r="Z88" s="33"/>
    </row>
    <row r="89" spans="1:26" s="1" customFormat="1" ht="13.5" customHeight="1">
      <c r="A89" s="29" t="s">
        <v>110</v>
      </c>
      <c r="B89" s="29"/>
      <c r="C89" s="29"/>
      <c r="D89" s="29"/>
      <c r="E89" s="29"/>
      <c r="F89" s="29"/>
      <c r="G89" s="29"/>
      <c r="H89" s="29"/>
      <c r="I89" s="30" t="s">
        <v>90</v>
      </c>
      <c r="J89" s="30"/>
      <c r="K89" s="30"/>
      <c r="L89" s="30" t="s">
        <v>153</v>
      </c>
      <c r="M89" s="30"/>
      <c r="N89" s="30"/>
      <c r="O89" s="31" t="s">
        <v>112</v>
      </c>
      <c r="P89" s="31"/>
      <c r="Q89" s="32">
        <f>363600</f>
        <v>363600</v>
      </c>
      <c r="R89" s="32"/>
      <c r="S89" s="32"/>
      <c r="T89" s="32">
        <f>147702.63</f>
        <v>147702.63</v>
      </c>
      <c r="U89" s="32"/>
      <c r="V89" s="32"/>
      <c r="W89" s="32"/>
      <c r="X89" s="32"/>
      <c r="Y89" s="33">
        <f>215897.37</f>
        <v>215897.37</v>
      </c>
      <c r="Z89" s="33"/>
    </row>
    <row r="90" spans="1:26" s="1" customFormat="1" ht="13.5" customHeight="1">
      <c r="A90" s="29" t="s">
        <v>102</v>
      </c>
      <c r="B90" s="29"/>
      <c r="C90" s="29"/>
      <c r="D90" s="29"/>
      <c r="E90" s="29"/>
      <c r="F90" s="29"/>
      <c r="G90" s="29"/>
      <c r="H90" s="29"/>
      <c r="I90" s="30" t="s">
        <v>90</v>
      </c>
      <c r="J90" s="30"/>
      <c r="K90" s="30"/>
      <c r="L90" s="30" t="s">
        <v>154</v>
      </c>
      <c r="M90" s="30"/>
      <c r="N90" s="30"/>
      <c r="O90" s="31" t="s">
        <v>104</v>
      </c>
      <c r="P90" s="31"/>
      <c r="Q90" s="32">
        <f>5425590</f>
        <v>5425590</v>
      </c>
      <c r="R90" s="32"/>
      <c r="S90" s="32"/>
      <c r="T90" s="32">
        <f>867089.81</f>
        <v>867089.81</v>
      </c>
      <c r="U90" s="32"/>
      <c r="V90" s="32"/>
      <c r="W90" s="32"/>
      <c r="X90" s="32"/>
      <c r="Y90" s="33">
        <f>4558500.19</f>
        <v>4558500.19</v>
      </c>
      <c r="Z90" s="33"/>
    </row>
    <row r="91" spans="1:26" s="1" customFormat="1" ht="13.5" customHeight="1">
      <c r="A91" s="29" t="s">
        <v>130</v>
      </c>
      <c r="B91" s="29"/>
      <c r="C91" s="29"/>
      <c r="D91" s="29"/>
      <c r="E91" s="29"/>
      <c r="F91" s="29"/>
      <c r="G91" s="29"/>
      <c r="H91" s="29"/>
      <c r="I91" s="30" t="s">
        <v>90</v>
      </c>
      <c r="J91" s="30"/>
      <c r="K91" s="30"/>
      <c r="L91" s="30" t="s">
        <v>155</v>
      </c>
      <c r="M91" s="30"/>
      <c r="N91" s="30"/>
      <c r="O91" s="31" t="s">
        <v>131</v>
      </c>
      <c r="P91" s="31"/>
      <c r="Q91" s="32">
        <f>2425575.61</f>
        <v>2425575.61</v>
      </c>
      <c r="R91" s="32"/>
      <c r="S91" s="32"/>
      <c r="T91" s="32">
        <f>1229387.68</f>
        <v>1229387.68</v>
      </c>
      <c r="U91" s="32"/>
      <c r="V91" s="32"/>
      <c r="W91" s="32"/>
      <c r="X91" s="32"/>
      <c r="Y91" s="33">
        <f>1196187.93</f>
        <v>1196187.93</v>
      </c>
      <c r="Z91" s="33"/>
    </row>
    <row r="92" spans="1:26" s="1" customFormat="1" ht="13.5" customHeight="1">
      <c r="A92" s="29" t="s">
        <v>110</v>
      </c>
      <c r="B92" s="29"/>
      <c r="C92" s="29"/>
      <c r="D92" s="29"/>
      <c r="E92" s="29"/>
      <c r="F92" s="29"/>
      <c r="G92" s="29"/>
      <c r="H92" s="29"/>
      <c r="I92" s="30" t="s">
        <v>90</v>
      </c>
      <c r="J92" s="30"/>
      <c r="K92" s="30"/>
      <c r="L92" s="30" t="s">
        <v>156</v>
      </c>
      <c r="M92" s="30"/>
      <c r="N92" s="30"/>
      <c r="O92" s="31" t="s">
        <v>112</v>
      </c>
      <c r="P92" s="31"/>
      <c r="Q92" s="32">
        <f>216060</f>
        <v>216060</v>
      </c>
      <c r="R92" s="32"/>
      <c r="S92" s="32"/>
      <c r="T92" s="32">
        <f>94308.59</f>
        <v>94308.59</v>
      </c>
      <c r="U92" s="32"/>
      <c r="V92" s="32"/>
      <c r="W92" s="32"/>
      <c r="X92" s="32"/>
      <c r="Y92" s="33">
        <f>121751.41</f>
        <v>121751.41</v>
      </c>
      <c r="Z92" s="33"/>
    </row>
    <row r="93" spans="1:26" s="1" customFormat="1" ht="13.5" customHeight="1">
      <c r="A93" s="29" t="s">
        <v>110</v>
      </c>
      <c r="B93" s="29"/>
      <c r="C93" s="29"/>
      <c r="D93" s="29"/>
      <c r="E93" s="29"/>
      <c r="F93" s="29"/>
      <c r="G93" s="29"/>
      <c r="H93" s="29"/>
      <c r="I93" s="30" t="s">
        <v>90</v>
      </c>
      <c r="J93" s="30"/>
      <c r="K93" s="30"/>
      <c r="L93" s="30" t="s">
        <v>157</v>
      </c>
      <c r="M93" s="30"/>
      <c r="N93" s="30"/>
      <c r="O93" s="31" t="s">
        <v>112</v>
      </c>
      <c r="P93" s="31"/>
      <c r="Q93" s="32">
        <f>308800</f>
        <v>308800</v>
      </c>
      <c r="R93" s="32"/>
      <c r="S93" s="32"/>
      <c r="T93" s="32">
        <f>154350</f>
        <v>154350</v>
      </c>
      <c r="U93" s="32"/>
      <c r="V93" s="32"/>
      <c r="W93" s="32"/>
      <c r="X93" s="32"/>
      <c r="Y93" s="33">
        <f>154450</f>
        <v>154450</v>
      </c>
      <c r="Z93" s="33"/>
    </row>
    <row r="94" spans="1:26" s="1" customFormat="1" ht="13.5" customHeight="1">
      <c r="A94" s="29" t="s">
        <v>110</v>
      </c>
      <c r="B94" s="29"/>
      <c r="C94" s="29"/>
      <c r="D94" s="29"/>
      <c r="E94" s="29"/>
      <c r="F94" s="29"/>
      <c r="G94" s="29"/>
      <c r="H94" s="29"/>
      <c r="I94" s="30" t="s">
        <v>90</v>
      </c>
      <c r="J94" s="30"/>
      <c r="K94" s="30"/>
      <c r="L94" s="30" t="s">
        <v>158</v>
      </c>
      <c r="M94" s="30"/>
      <c r="N94" s="30"/>
      <c r="O94" s="31" t="s">
        <v>112</v>
      </c>
      <c r="P94" s="31"/>
      <c r="Q94" s="32">
        <f>98000</f>
        <v>98000</v>
      </c>
      <c r="R94" s="32"/>
      <c r="S94" s="32"/>
      <c r="T94" s="34" t="s">
        <v>108</v>
      </c>
      <c r="U94" s="34"/>
      <c r="V94" s="34"/>
      <c r="W94" s="34"/>
      <c r="X94" s="34"/>
      <c r="Y94" s="33">
        <f>98000</f>
        <v>98000</v>
      </c>
      <c r="Z94" s="33"/>
    </row>
    <row r="95" spans="1:26" s="1" customFormat="1" ht="13.5" customHeight="1">
      <c r="A95" s="29" t="s">
        <v>110</v>
      </c>
      <c r="B95" s="29"/>
      <c r="C95" s="29"/>
      <c r="D95" s="29"/>
      <c r="E95" s="29"/>
      <c r="F95" s="29"/>
      <c r="G95" s="29"/>
      <c r="H95" s="29"/>
      <c r="I95" s="30" t="s">
        <v>90</v>
      </c>
      <c r="J95" s="30"/>
      <c r="K95" s="30"/>
      <c r="L95" s="30" t="s">
        <v>159</v>
      </c>
      <c r="M95" s="30"/>
      <c r="N95" s="30"/>
      <c r="O95" s="31" t="s">
        <v>112</v>
      </c>
      <c r="P95" s="31"/>
      <c r="Q95" s="32">
        <f>30000</f>
        <v>30000</v>
      </c>
      <c r="R95" s="32"/>
      <c r="S95" s="32"/>
      <c r="T95" s="32">
        <f>15800</f>
        <v>15800</v>
      </c>
      <c r="U95" s="32"/>
      <c r="V95" s="32"/>
      <c r="W95" s="32"/>
      <c r="X95" s="32"/>
      <c r="Y95" s="33">
        <f>14200</f>
        <v>14200</v>
      </c>
      <c r="Z95" s="33"/>
    </row>
    <row r="96" spans="1:26" s="1" customFormat="1" ht="13.5" customHeight="1">
      <c r="A96" s="29" t="s">
        <v>110</v>
      </c>
      <c r="B96" s="29"/>
      <c r="C96" s="29"/>
      <c r="D96" s="29"/>
      <c r="E96" s="29"/>
      <c r="F96" s="29"/>
      <c r="G96" s="29"/>
      <c r="H96" s="29"/>
      <c r="I96" s="30" t="s">
        <v>90</v>
      </c>
      <c r="J96" s="30"/>
      <c r="K96" s="30"/>
      <c r="L96" s="30" t="s">
        <v>160</v>
      </c>
      <c r="M96" s="30"/>
      <c r="N96" s="30"/>
      <c r="O96" s="31" t="s">
        <v>112</v>
      </c>
      <c r="P96" s="31"/>
      <c r="Q96" s="32">
        <f>1458235</f>
        <v>1458235</v>
      </c>
      <c r="R96" s="32"/>
      <c r="S96" s="32"/>
      <c r="T96" s="34" t="s">
        <v>108</v>
      </c>
      <c r="U96" s="34"/>
      <c r="V96" s="34"/>
      <c r="W96" s="34"/>
      <c r="X96" s="34"/>
      <c r="Y96" s="33">
        <f>1458235</f>
        <v>1458235</v>
      </c>
      <c r="Z96" s="33"/>
    </row>
    <row r="97" spans="1:26" s="1" customFormat="1" ht="13.5" customHeight="1">
      <c r="A97" s="29" t="s">
        <v>110</v>
      </c>
      <c r="B97" s="29"/>
      <c r="C97" s="29"/>
      <c r="D97" s="29"/>
      <c r="E97" s="29"/>
      <c r="F97" s="29"/>
      <c r="G97" s="29"/>
      <c r="H97" s="29"/>
      <c r="I97" s="30" t="s">
        <v>90</v>
      </c>
      <c r="J97" s="30"/>
      <c r="K97" s="30"/>
      <c r="L97" s="30" t="s">
        <v>161</v>
      </c>
      <c r="M97" s="30"/>
      <c r="N97" s="30"/>
      <c r="O97" s="31" t="s">
        <v>112</v>
      </c>
      <c r="P97" s="31"/>
      <c r="Q97" s="32">
        <f>1300000</f>
        <v>1300000</v>
      </c>
      <c r="R97" s="32"/>
      <c r="S97" s="32"/>
      <c r="T97" s="34" t="s">
        <v>108</v>
      </c>
      <c r="U97" s="34"/>
      <c r="V97" s="34"/>
      <c r="W97" s="34"/>
      <c r="X97" s="34"/>
      <c r="Y97" s="33">
        <f>1300000</f>
        <v>1300000</v>
      </c>
      <c r="Z97" s="33"/>
    </row>
    <row r="98" spans="1:26" s="1" customFormat="1" ht="13.5" customHeight="1">
      <c r="A98" s="29" t="s">
        <v>110</v>
      </c>
      <c r="B98" s="29"/>
      <c r="C98" s="29"/>
      <c r="D98" s="29"/>
      <c r="E98" s="29"/>
      <c r="F98" s="29"/>
      <c r="G98" s="29"/>
      <c r="H98" s="29"/>
      <c r="I98" s="30" t="s">
        <v>90</v>
      </c>
      <c r="J98" s="30"/>
      <c r="K98" s="30"/>
      <c r="L98" s="30" t="s">
        <v>162</v>
      </c>
      <c r="M98" s="30"/>
      <c r="N98" s="30"/>
      <c r="O98" s="31" t="s">
        <v>112</v>
      </c>
      <c r="P98" s="31"/>
      <c r="Q98" s="32">
        <f>13131.31</f>
        <v>13131.31</v>
      </c>
      <c r="R98" s="32"/>
      <c r="S98" s="32"/>
      <c r="T98" s="34" t="s">
        <v>108</v>
      </c>
      <c r="U98" s="34"/>
      <c r="V98" s="34"/>
      <c r="W98" s="34"/>
      <c r="X98" s="34"/>
      <c r="Y98" s="33">
        <f>13131.31</f>
        <v>13131.31</v>
      </c>
      <c r="Z98" s="33"/>
    </row>
    <row r="99" spans="1:26" s="1" customFormat="1" ht="13.5" customHeight="1">
      <c r="A99" s="29" t="s">
        <v>110</v>
      </c>
      <c r="B99" s="29"/>
      <c r="C99" s="29"/>
      <c r="D99" s="29"/>
      <c r="E99" s="29"/>
      <c r="F99" s="29"/>
      <c r="G99" s="29"/>
      <c r="H99" s="29"/>
      <c r="I99" s="30" t="s">
        <v>90</v>
      </c>
      <c r="J99" s="30"/>
      <c r="K99" s="30"/>
      <c r="L99" s="30" t="s">
        <v>163</v>
      </c>
      <c r="M99" s="30"/>
      <c r="N99" s="30"/>
      <c r="O99" s="31" t="s">
        <v>112</v>
      </c>
      <c r="P99" s="31"/>
      <c r="Q99" s="32">
        <f>0</f>
        <v>0</v>
      </c>
      <c r="R99" s="32"/>
      <c r="S99" s="32"/>
      <c r="T99" s="34" t="s">
        <v>108</v>
      </c>
      <c r="U99" s="34"/>
      <c r="V99" s="34"/>
      <c r="W99" s="34"/>
      <c r="X99" s="34"/>
      <c r="Y99" s="35" t="s">
        <v>108</v>
      </c>
      <c r="Z99" s="35"/>
    </row>
    <row r="100" spans="1:26" s="1" customFormat="1" ht="13.5" customHeight="1">
      <c r="A100" s="29" t="s">
        <v>110</v>
      </c>
      <c r="B100" s="29"/>
      <c r="C100" s="29"/>
      <c r="D100" s="29"/>
      <c r="E100" s="29"/>
      <c r="F100" s="29"/>
      <c r="G100" s="29"/>
      <c r="H100" s="29"/>
      <c r="I100" s="30" t="s">
        <v>90</v>
      </c>
      <c r="J100" s="30"/>
      <c r="K100" s="30"/>
      <c r="L100" s="30" t="s">
        <v>164</v>
      </c>
      <c r="M100" s="30"/>
      <c r="N100" s="30"/>
      <c r="O100" s="31" t="s">
        <v>112</v>
      </c>
      <c r="P100" s="31"/>
      <c r="Q100" s="32">
        <f>98000</f>
        <v>98000</v>
      </c>
      <c r="R100" s="32"/>
      <c r="S100" s="32"/>
      <c r="T100" s="32">
        <f>98000</f>
        <v>98000</v>
      </c>
      <c r="U100" s="32"/>
      <c r="V100" s="32"/>
      <c r="W100" s="32"/>
      <c r="X100" s="32"/>
      <c r="Y100" s="33">
        <f>0</f>
        <v>0</v>
      </c>
      <c r="Z100" s="33"/>
    </row>
    <row r="101" spans="1:26" s="1" customFormat="1" ht="13.5" customHeight="1">
      <c r="A101" s="29" t="s">
        <v>102</v>
      </c>
      <c r="B101" s="29"/>
      <c r="C101" s="29"/>
      <c r="D101" s="29"/>
      <c r="E101" s="29"/>
      <c r="F101" s="29"/>
      <c r="G101" s="29"/>
      <c r="H101" s="29"/>
      <c r="I101" s="30" t="s">
        <v>90</v>
      </c>
      <c r="J101" s="30"/>
      <c r="K101" s="30"/>
      <c r="L101" s="30" t="s">
        <v>165</v>
      </c>
      <c r="M101" s="30"/>
      <c r="N101" s="30"/>
      <c r="O101" s="31" t="s">
        <v>104</v>
      </c>
      <c r="P101" s="31"/>
      <c r="Q101" s="32">
        <f>0</f>
        <v>0</v>
      </c>
      <c r="R101" s="32"/>
      <c r="S101" s="32"/>
      <c r="T101" s="34" t="s">
        <v>108</v>
      </c>
      <c r="U101" s="34"/>
      <c r="V101" s="34"/>
      <c r="W101" s="34"/>
      <c r="X101" s="34"/>
      <c r="Y101" s="35" t="s">
        <v>108</v>
      </c>
      <c r="Z101" s="35"/>
    </row>
    <row r="102" spans="1:26" s="1" customFormat="1" ht="13.5" customHeight="1">
      <c r="A102" s="29" t="s">
        <v>102</v>
      </c>
      <c r="B102" s="29"/>
      <c r="C102" s="29"/>
      <c r="D102" s="29"/>
      <c r="E102" s="29"/>
      <c r="F102" s="29"/>
      <c r="G102" s="29"/>
      <c r="H102" s="29"/>
      <c r="I102" s="30" t="s">
        <v>90</v>
      </c>
      <c r="J102" s="30"/>
      <c r="K102" s="30"/>
      <c r="L102" s="30" t="s">
        <v>166</v>
      </c>
      <c r="M102" s="30"/>
      <c r="N102" s="30"/>
      <c r="O102" s="31" t="s">
        <v>104</v>
      </c>
      <c r="P102" s="31"/>
      <c r="Q102" s="32">
        <f>434086</f>
        <v>434086</v>
      </c>
      <c r="R102" s="32"/>
      <c r="S102" s="32"/>
      <c r="T102" s="32">
        <f>217043</f>
        <v>217043</v>
      </c>
      <c r="U102" s="32"/>
      <c r="V102" s="32"/>
      <c r="W102" s="32"/>
      <c r="X102" s="32"/>
      <c r="Y102" s="33">
        <f>217043</f>
        <v>217043</v>
      </c>
      <c r="Z102" s="33"/>
    </row>
    <row r="103" spans="1:26" s="1" customFormat="1" ht="24" customHeight="1">
      <c r="A103" s="29" t="s">
        <v>147</v>
      </c>
      <c r="B103" s="29"/>
      <c r="C103" s="29"/>
      <c r="D103" s="29"/>
      <c r="E103" s="29"/>
      <c r="F103" s="29"/>
      <c r="G103" s="29"/>
      <c r="H103" s="29"/>
      <c r="I103" s="30" t="s">
        <v>90</v>
      </c>
      <c r="J103" s="30"/>
      <c r="K103" s="30"/>
      <c r="L103" s="30" t="s">
        <v>167</v>
      </c>
      <c r="M103" s="30"/>
      <c r="N103" s="30"/>
      <c r="O103" s="31" t="s">
        <v>149</v>
      </c>
      <c r="P103" s="31"/>
      <c r="Q103" s="32">
        <f>2000000</f>
        <v>2000000</v>
      </c>
      <c r="R103" s="32"/>
      <c r="S103" s="32"/>
      <c r="T103" s="32">
        <f>800000</f>
        <v>800000</v>
      </c>
      <c r="U103" s="32"/>
      <c r="V103" s="32"/>
      <c r="W103" s="32"/>
      <c r="X103" s="32"/>
      <c r="Y103" s="33">
        <f>1200000</f>
        <v>1200000</v>
      </c>
      <c r="Z103" s="33"/>
    </row>
    <row r="104" spans="1:26" s="1" customFormat="1" ht="24" customHeight="1">
      <c r="A104" s="29" t="s">
        <v>147</v>
      </c>
      <c r="B104" s="29"/>
      <c r="C104" s="29"/>
      <c r="D104" s="29"/>
      <c r="E104" s="29"/>
      <c r="F104" s="29"/>
      <c r="G104" s="29"/>
      <c r="H104" s="29"/>
      <c r="I104" s="30" t="s">
        <v>90</v>
      </c>
      <c r="J104" s="30"/>
      <c r="K104" s="30"/>
      <c r="L104" s="30" t="s">
        <v>168</v>
      </c>
      <c r="M104" s="30"/>
      <c r="N104" s="30"/>
      <c r="O104" s="31" t="s">
        <v>149</v>
      </c>
      <c r="P104" s="31"/>
      <c r="Q104" s="32">
        <f>20564800</f>
        <v>20564800</v>
      </c>
      <c r="R104" s="32"/>
      <c r="S104" s="32"/>
      <c r="T104" s="32">
        <f>9300000</f>
        <v>9300000</v>
      </c>
      <c r="U104" s="32"/>
      <c r="V104" s="32"/>
      <c r="W104" s="32"/>
      <c r="X104" s="32"/>
      <c r="Y104" s="33">
        <f>11264800</f>
        <v>11264800</v>
      </c>
      <c r="Z104" s="33"/>
    </row>
    <row r="105" spans="1:26" s="1" customFormat="1" ht="24" customHeight="1">
      <c r="A105" s="29" t="s">
        <v>147</v>
      </c>
      <c r="B105" s="29"/>
      <c r="C105" s="29"/>
      <c r="D105" s="29"/>
      <c r="E105" s="29"/>
      <c r="F105" s="29"/>
      <c r="G105" s="29"/>
      <c r="H105" s="29"/>
      <c r="I105" s="30" t="s">
        <v>90</v>
      </c>
      <c r="J105" s="30"/>
      <c r="K105" s="30"/>
      <c r="L105" s="30" t="s">
        <v>169</v>
      </c>
      <c r="M105" s="30"/>
      <c r="N105" s="30"/>
      <c r="O105" s="31" t="s">
        <v>149</v>
      </c>
      <c r="P105" s="31"/>
      <c r="Q105" s="32">
        <f>1273800</f>
        <v>1273800</v>
      </c>
      <c r="R105" s="32"/>
      <c r="S105" s="32"/>
      <c r="T105" s="34" t="s">
        <v>108</v>
      </c>
      <c r="U105" s="34"/>
      <c r="V105" s="34"/>
      <c r="W105" s="34"/>
      <c r="X105" s="34"/>
      <c r="Y105" s="33">
        <f>1273800</f>
        <v>1273800</v>
      </c>
      <c r="Z105" s="33"/>
    </row>
    <row r="106" spans="1:26" s="1" customFormat="1" ht="24" customHeight="1">
      <c r="A106" s="29" t="s">
        <v>147</v>
      </c>
      <c r="B106" s="29"/>
      <c r="C106" s="29"/>
      <c r="D106" s="29"/>
      <c r="E106" s="29"/>
      <c r="F106" s="29"/>
      <c r="G106" s="29"/>
      <c r="H106" s="29"/>
      <c r="I106" s="30" t="s">
        <v>90</v>
      </c>
      <c r="J106" s="30"/>
      <c r="K106" s="30"/>
      <c r="L106" s="30" t="s">
        <v>170</v>
      </c>
      <c r="M106" s="30"/>
      <c r="N106" s="30"/>
      <c r="O106" s="31" t="s">
        <v>149</v>
      </c>
      <c r="P106" s="31"/>
      <c r="Q106" s="32">
        <f>66900</f>
        <v>66900</v>
      </c>
      <c r="R106" s="32"/>
      <c r="S106" s="32"/>
      <c r="T106" s="34" t="s">
        <v>108</v>
      </c>
      <c r="U106" s="34"/>
      <c r="V106" s="34"/>
      <c r="W106" s="34"/>
      <c r="X106" s="34"/>
      <c r="Y106" s="33">
        <f>66900</f>
        <v>66900</v>
      </c>
      <c r="Z106" s="33"/>
    </row>
    <row r="107" spans="1:26" s="1" customFormat="1" ht="13.5" customHeight="1">
      <c r="A107" s="29" t="s">
        <v>105</v>
      </c>
      <c r="B107" s="29"/>
      <c r="C107" s="29"/>
      <c r="D107" s="29"/>
      <c r="E107" s="29"/>
      <c r="F107" s="29"/>
      <c r="G107" s="29"/>
      <c r="H107" s="29"/>
      <c r="I107" s="30" t="s">
        <v>90</v>
      </c>
      <c r="J107" s="30"/>
      <c r="K107" s="30"/>
      <c r="L107" s="30" t="s">
        <v>171</v>
      </c>
      <c r="M107" s="30"/>
      <c r="N107" s="30"/>
      <c r="O107" s="31" t="s">
        <v>107</v>
      </c>
      <c r="P107" s="31"/>
      <c r="Q107" s="32">
        <f>40000</f>
        <v>40000</v>
      </c>
      <c r="R107" s="32"/>
      <c r="S107" s="32"/>
      <c r="T107" s="32">
        <f>14464</f>
        <v>14464</v>
      </c>
      <c r="U107" s="32"/>
      <c r="V107" s="32"/>
      <c r="W107" s="32"/>
      <c r="X107" s="32"/>
      <c r="Y107" s="33">
        <f>25536</f>
        <v>25536</v>
      </c>
      <c r="Z107" s="33"/>
    </row>
    <row r="108" spans="1:26" s="1" customFormat="1" ht="13.5" customHeight="1">
      <c r="A108" s="29" t="s">
        <v>113</v>
      </c>
      <c r="B108" s="29"/>
      <c r="C108" s="29"/>
      <c r="D108" s="29"/>
      <c r="E108" s="29"/>
      <c r="F108" s="29"/>
      <c r="G108" s="29"/>
      <c r="H108" s="29"/>
      <c r="I108" s="30" t="s">
        <v>90</v>
      </c>
      <c r="J108" s="30"/>
      <c r="K108" s="30"/>
      <c r="L108" s="30" t="s">
        <v>172</v>
      </c>
      <c r="M108" s="30"/>
      <c r="N108" s="30"/>
      <c r="O108" s="31" t="s">
        <v>114</v>
      </c>
      <c r="P108" s="31"/>
      <c r="Q108" s="32">
        <f>178800</f>
        <v>178800</v>
      </c>
      <c r="R108" s="32"/>
      <c r="S108" s="32"/>
      <c r="T108" s="32">
        <f>6097.62</f>
        <v>6097.62</v>
      </c>
      <c r="U108" s="32"/>
      <c r="V108" s="32"/>
      <c r="W108" s="32"/>
      <c r="X108" s="32"/>
      <c r="Y108" s="33">
        <f>172702.38</f>
        <v>172702.38</v>
      </c>
      <c r="Z108" s="33"/>
    </row>
    <row r="109" spans="1:26" s="1" customFormat="1" ht="15" customHeight="1">
      <c r="A109" s="36" t="s">
        <v>173</v>
      </c>
      <c r="B109" s="36"/>
      <c r="C109" s="36"/>
      <c r="D109" s="36"/>
      <c r="E109" s="36"/>
      <c r="F109" s="36"/>
      <c r="G109" s="36"/>
      <c r="H109" s="36"/>
      <c r="I109" s="37" t="s">
        <v>174</v>
      </c>
      <c r="J109" s="37"/>
      <c r="K109" s="37"/>
      <c r="L109" s="37" t="s">
        <v>36</v>
      </c>
      <c r="M109" s="37"/>
      <c r="N109" s="37"/>
      <c r="O109" s="38" t="s">
        <v>36</v>
      </c>
      <c r="P109" s="38"/>
      <c r="Q109" s="39">
        <f>-2903353.88</f>
        <v>-2903353.88</v>
      </c>
      <c r="R109" s="39"/>
      <c r="S109" s="39"/>
      <c r="T109" s="39">
        <f>3607348.8</f>
        <v>3607348.8</v>
      </c>
      <c r="U109" s="39"/>
      <c r="V109" s="39"/>
      <c r="W109" s="39"/>
      <c r="X109" s="39"/>
      <c r="Y109" s="40" t="s">
        <v>36</v>
      </c>
      <c r="Z109" s="40"/>
    </row>
    <row r="110" spans="1:26" s="1" customFormat="1" ht="13.5" customHeight="1">
      <c r="A110" s="7" t="s">
        <v>10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3.5" customHeight="1">
      <c r="A111" s="12" t="s">
        <v>175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s="1" customFormat="1" ht="45.75" customHeight="1">
      <c r="A112" s="13" t="s">
        <v>22</v>
      </c>
      <c r="B112" s="13"/>
      <c r="C112" s="13"/>
      <c r="D112" s="13"/>
      <c r="E112" s="13"/>
      <c r="F112" s="13"/>
      <c r="G112" s="13"/>
      <c r="H112" s="13"/>
      <c r="I112" s="13"/>
      <c r="J112" s="13" t="s">
        <v>23</v>
      </c>
      <c r="K112" s="13"/>
      <c r="L112" s="13"/>
      <c r="M112" s="13" t="s">
        <v>176</v>
      </c>
      <c r="N112" s="13"/>
      <c r="O112" s="13"/>
      <c r="P112" s="14" t="s">
        <v>25</v>
      </c>
      <c r="Q112" s="14"/>
      <c r="R112" s="14"/>
      <c r="S112" s="14" t="s">
        <v>26</v>
      </c>
      <c r="T112" s="14"/>
      <c r="U112" s="14"/>
      <c r="V112" s="14"/>
      <c r="W112" s="14"/>
      <c r="X112" s="15" t="s">
        <v>27</v>
      </c>
      <c r="Y112" s="15"/>
      <c r="Z112" s="15"/>
    </row>
    <row r="113" spans="1:26" s="1" customFormat="1" ht="12.75" customHeight="1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 t="s">
        <v>29</v>
      </c>
      <c r="K113" s="16"/>
      <c r="L113" s="16"/>
      <c r="M113" s="16" t="s">
        <v>30</v>
      </c>
      <c r="N113" s="16"/>
      <c r="O113" s="16"/>
      <c r="P113" s="17" t="s">
        <v>31</v>
      </c>
      <c r="Q113" s="17"/>
      <c r="R113" s="17"/>
      <c r="S113" s="17" t="s">
        <v>32</v>
      </c>
      <c r="T113" s="17"/>
      <c r="U113" s="17"/>
      <c r="V113" s="17"/>
      <c r="W113" s="17"/>
      <c r="X113" s="18" t="s">
        <v>33</v>
      </c>
      <c r="Y113" s="18"/>
      <c r="Z113" s="18"/>
    </row>
    <row r="114" spans="1:26" s="1" customFormat="1" ht="13.5" customHeight="1">
      <c r="A114" s="19" t="s">
        <v>177</v>
      </c>
      <c r="B114" s="19"/>
      <c r="C114" s="19"/>
      <c r="D114" s="19"/>
      <c r="E114" s="19"/>
      <c r="F114" s="19"/>
      <c r="G114" s="19"/>
      <c r="H114" s="19"/>
      <c r="I114" s="19"/>
      <c r="J114" s="20" t="s">
        <v>178</v>
      </c>
      <c r="K114" s="20"/>
      <c r="L114" s="20"/>
      <c r="M114" s="20" t="s">
        <v>36</v>
      </c>
      <c r="N114" s="20"/>
      <c r="O114" s="20"/>
      <c r="P114" s="41">
        <f>2903353.88</f>
        <v>2903353.88</v>
      </c>
      <c r="Q114" s="41"/>
      <c r="R114" s="41"/>
      <c r="S114" s="21">
        <f>-3607348.8</f>
        <v>-3607348.8</v>
      </c>
      <c r="T114" s="21"/>
      <c r="U114" s="21"/>
      <c r="V114" s="21"/>
      <c r="W114" s="21"/>
      <c r="X114" s="42" t="s">
        <v>36</v>
      </c>
      <c r="Y114" s="42"/>
      <c r="Z114" s="42"/>
    </row>
    <row r="115" spans="1:26" s="1" customFormat="1" ht="13.5" customHeight="1">
      <c r="A115" s="43" t="s">
        <v>179</v>
      </c>
      <c r="B115" s="43"/>
      <c r="C115" s="43"/>
      <c r="D115" s="43"/>
      <c r="E115" s="43"/>
      <c r="F115" s="43"/>
      <c r="G115" s="43"/>
      <c r="H115" s="43"/>
      <c r="I115" s="43"/>
      <c r="J115" s="44" t="s">
        <v>10</v>
      </c>
      <c r="K115" s="44"/>
      <c r="L115" s="44"/>
      <c r="M115" s="44" t="s">
        <v>10</v>
      </c>
      <c r="N115" s="44"/>
      <c r="O115" s="44"/>
      <c r="P115" s="45" t="s">
        <v>10</v>
      </c>
      <c r="Q115" s="45"/>
      <c r="R115" s="45"/>
      <c r="S115" s="46" t="s">
        <v>10</v>
      </c>
      <c r="T115" s="46"/>
      <c r="U115" s="46"/>
      <c r="V115" s="46"/>
      <c r="W115" s="46"/>
      <c r="X115" s="47" t="s">
        <v>10</v>
      </c>
      <c r="Y115" s="47"/>
      <c r="Z115" s="47"/>
    </row>
    <row r="116" spans="1:26" s="1" customFormat="1" ht="13.5" customHeight="1">
      <c r="A116" s="23" t="s">
        <v>180</v>
      </c>
      <c r="B116" s="23"/>
      <c r="C116" s="23"/>
      <c r="D116" s="23"/>
      <c r="E116" s="23"/>
      <c r="F116" s="23"/>
      <c r="G116" s="23"/>
      <c r="H116" s="23"/>
      <c r="I116" s="23"/>
      <c r="J116" s="48" t="s">
        <v>181</v>
      </c>
      <c r="K116" s="48"/>
      <c r="L116" s="48"/>
      <c r="M116" s="24" t="s">
        <v>36</v>
      </c>
      <c r="N116" s="24"/>
      <c r="O116" s="24"/>
      <c r="P116" s="49" t="s">
        <v>108</v>
      </c>
      <c r="Q116" s="49"/>
      <c r="R116" s="49"/>
      <c r="S116" s="50" t="s">
        <v>108</v>
      </c>
      <c r="T116" s="50"/>
      <c r="U116" s="50"/>
      <c r="V116" s="50"/>
      <c r="W116" s="50"/>
      <c r="X116" s="51" t="s">
        <v>108</v>
      </c>
      <c r="Y116" s="51"/>
      <c r="Z116" s="51"/>
    </row>
    <row r="117" spans="1:26" s="1" customFormat="1" ht="13.5" customHeight="1">
      <c r="A117" s="29" t="s">
        <v>10</v>
      </c>
      <c r="B117" s="29"/>
      <c r="C117" s="29"/>
      <c r="D117" s="29"/>
      <c r="E117" s="29"/>
      <c r="F117" s="29"/>
      <c r="G117" s="29"/>
      <c r="H117" s="29"/>
      <c r="I117" s="29"/>
      <c r="J117" s="30" t="s">
        <v>181</v>
      </c>
      <c r="K117" s="30"/>
      <c r="L117" s="30"/>
      <c r="M117" s="30" t="s">
        <v>10</v>
      </c>
      <c r="N117" s="30"/>
      <c r="O117" s="30"/>
      <c r="P117" s="52" t="s">
        <v>108</v>
      </c>
      <c r="Q117" s="52"/>
      <c r="R117" s="52"/>
      <c r="S117" s="34" t="s">
        <v>108</v>
      </c>
      <c r="T117" s="34"/>
      <c r="U117" s="34"/>
      <c r="V117" s="34"/>
      <c r="W117" s="34"/>
      <c r="X117" s="53" t="s">
        <v>108</v>
      </c>
      <c r="Y117" s="53"/>
      <c r="Z117" s="53"/>
    </row>
    <row r="118" spans="1:26" s="1" customFormat="1" ht="13.5" customHeight="1">
      <c r="A118" s="29" t="s">
        <v>182</v>
      </c>
      <c r="B118" s="29"/>
      <c r="C118" s="29"/>
      <c r="D118" s="29"/>
      <c r="E118" s="29"/>
      <c r="F118" s="29"/>
      <c r="G118" s="29"/>
      <c r="H118" s="29"/>
      <c r="I118" s="29"/>
      <c r="J118" s="44" t="s">
        <v>183</v>
      </c>
      <c r="K118" s="44"/>
      <c r="L118" s="44"/>
      <c r="M118" s="44" t="s">
        <v>36</v>
      </c>
      <c r="N118" s="44"/>
      <c r="O118" s="44"/>
      <c r="P118" s="45" t="s">
        <v>108</v>
      </c>
      <c r="Q118" s="45"/>
      <c r="R118" s="45"/>
      <c r="S118" s="34" t="s">
        <v>108</v>
      </c>
      <c r="T118" s="34"/>
      <c r="U118" s="34"/>
      <c r="V118" s="34"/>
      <c r="W118" s="34"/>
      <c r="X118" s="47" t="s">
        <v>108</v>
      </c>
      <c r="Y118" s="47"/>
      <c r="Z118" s="47"/>
    </row>
    <row r="119" spans="1:26" s="1" customFormat="1" ht="13.5" customHeight="1">
      <c r="A119" s="29" t="s">
        <v>10</v>
      </c>
      <c r="B119" s="29"/>
      <c r="C119" s="29"/>
      <c r="D119" s="29"/>
      <c r="E119" s="29"/>
      <c r="F119" s="29"/>
      <c r="G119" s="29"/>
      <c r="H119" s="29"/>
      <c r="I119" s="29"/>
      <c r="J119" s="30" t="s">
        <v>183</v>
      </c>
      <c r="K119" s="30"/>
      <c r="L119" s="30"/>
      <c r="M119" s="30" t="s">
        <v>10</v>
      </c>
      <c r="N119" s="30"/>
      <c r="O119" s="30"/>
      <c r="P119" s="52" t="s">
        <v>108</v>
      </c>
      <c r="Q119" s="52"/>
      <c r="R119" s="52"/>
      <c r="S119" s="34" t="s">
        <v>108</v>
      </c>
      <c r="T119" s="34"/>
      <c r="U119" s="34"/>
      <c r="V119" s="34"/>
      <c r="W119" s="34"/>
      <c r="X119" s="53" t="s">
        <v>108</v>
      </c>
      <c r="Y119" s="53"/>
      <c r="Z119" s="53"/>
    </row>
    <row r="120" spans="1:26" s="1" customFormat="1" ht="13.5" customHeight="1">
      <c r="A120" s="29" t="s">
        <v>184</v>
      </c>
      <c r="B120" s="29"/>
      <c r="C120" s="29"/>
      <c r="D120" s="29"/>
      <c r="E120" s="29"/>
      <c r="F120" s="29"/>
      <c r="G120" s="29"/>
      <c r="H120" s="29"/>
      <c r="I120" s="29"/>
      <c r="J120" s="30" t="s">
        <v>185</v>
      </c>
      <c r="K120" s="30"/>
      <c r="L120" s="30"/>
      <c r="M120" s="30" t="s">
        <v>186</v>
      </c>
      <c r="N120" s="30"/>
      <c r="O120" s="30"/>
      <c r="P120" s="54">
        <f>2903353.88</f>
        <v>2903353.88</v>
      </c>
      <c r="Q120" s="54"/>
      <c r="R120" s="54"/>
      <c r="S120" s="32">
        <f>-3607348.8</f>
        <v>-3607348.8</v>
      </c>
      <c r="T120" s="32"/>
      <c r="U120" s="32"/>
      <c r="V120" s="32"/>
      <c r="W120" s="32"/>
      <c r="X120" s="55">
        <f>6510702.68</f>
        <v>6510702.68</v>
      </c>
      <c r="Y120" s="55"/>
      <c r="Z120" s="55"/>
    </row>
    <row r="121" spans="1:26" s="1" customFormat="1" ht="13.5" customHeight="1">
      <c r="A121" s="29" t="s">
        <v>187</v>
      </c>
      <c r="B121" s="29"/>
      <c r="C121" s="29"/>
      <c r="D121" s="29"/>
      <c r="E121" s="29"/>
      <c r="F121" s="29"/>
      <c r="G121" s="29"/>
      <c r="H121" s="29"/>
      <c r="I121" s="29"/>
      <c r="J121" s="30" t="s">
        <v>188</v>
      </c>
      <c r="K121" s="30"/>
      <c r="L121" s="30"/>
      <c r="M121" s="30" t="s">
        <v>189</v>
      </c>
      <c r="N121" s="30"/>
      <c r="O121" s="30"/>
      <c r="P121" s="54">
        <f>-69486943.59</f>
        <v>-69486943.59</v>
      </c>
      <c r="Q121" s="54"/>
      <c r="R121" s="54"/>
      <c r="S121" s="32">
        <f>-30550203.86</f>
        <v>-30550203.86</v>
      </c>
      <c r="T121" s="32"/>
      <c r="U121" s="32"/>
      <c r="V121" s="32"/>
      <c r="W121" s="32"/>
      <c r="X121" s="56" t="s">
        <v>36</v>
      </c>
      <c r="Y121" s="56"/>
      <c r="Z121" s="56"/>
    </row>
    <row r="122" spans="1:26" s="1" customFormat="1" ht="13.5" customHeight="1">
      <c r="A122" s="29" t="s">
        <v>190</v>
      </c>
      <c r="B122" s="29"/>
      <c r="C122" s="29"/>
      <c r="D122" s="29"/>
      <c r="E122" s="29"/>
      <c r="F122" s="29"/>
      <c r="G122" s="29"/>
      <c r="H122" s="29"/>
      <c r="I122" s="29"/>
      <c r="J122" s="30" t="s">
        <v>191</v>
      </c>
      <c r="K122" s="30"/>
      <c r="L122" s="30"/>
      <c r="M122" s="30" t="s">
        <v>192</v>
      </c>
      <c r="N122" s="30"/>
      <c r="O122" s="30"/>
      <c r="P122" s="54">
        <f>72390297.47</f>
        <v>72390297.47</v>
      </c>
      <c r="Q122" s="54"/>
      <c r="R122" s="54"/>
      <c r="S122" s="32">
        <f>26942855.06</f>
        <v>26942855.06</v>
      </c>
      <c r="T122" s="32"/>
      <c r="U122" s="32"/>
      <c r="V122" s="32"/>
      <c r="W122" s="32"/>
      <c r="X122" s="56" t="s">
        <v>36</v>
      </c>
      <c r="Y122" s="56"/>
      <c r="Z122" s="56"/>
    </row>
    <row r="123" spans="1:26" s="1" customFormat="1" ht="13.5" customHeight="1">
      <c r="A123" s="58" t="s">
        <v>10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s="1" customFormat="1" ht="13.5" customHeight="1">
      <c r="A124" s="7" t="s">
        <v>193</v>
      </c>
      <c r="B124" s="7"/>
      <c r="C124" s="7"/>
      <c r="D124" s="7"/>
      <c r="E124" s="7"/>
      <c r="F124" s="57" t="s">
        <v>10</v>
      </c>
      <c r="G124" s="57"/>
      <c r="H124" s="57"/>
      <c r="I124" s="57"/>
      <c r="J124" s="57"/>
      <c r="K124" s="57"/>
      <c r="L124" s="57"/>
      <c r="M124" s="57" t="s">
        <v>194</v>
      </c>
      <c r="N124" s="57"/>
      <c r="O124" s="57"/>
      <c r="P124" s="57"/>
      <c r="Q124" s="57"/>
      <c r="R124" s="7" t="s">
        <v>10</v>
      </c>
      <c r="S124" s="7"/>
      <c r="T124" s="7"/>
      <c r="U124" s="7"/>
      <c r="V124" s="7"/>
      <c r="W124" s="7"/>
      <c r="X124" s="7"/>
      <c r="Y124" s="7"/>
      <c r="Z124" s="7"/>
    </row>
    <row r="125" spans="1:26" s="1" customFormat="1" ht="13.5" customHeight="1">
      <c r="A125" s="7" t="s">
        <v>10</v>
      </c>
      <c r="B125" s="7"/>
      <c r="C125" s="7"/>
      <c r="D125" s="7"/>
      <c r="E125" s="7"/>
      <c r="F125" s="10" t="s">
        <v>10</v>
      </c>
      <c r="G125" s="59" t="s">
        <v>195</v>
      </c>
      <c r="H125" s="59"/>
      <c r="I125" s="59"/>
      <c r="J125" s="59"/>
      <c r="K125" s="7" t="s">
        <v>10</v>
      </c>
      <c r="L125" s="7"/>
      <c r="M125" s="10" t="s">
        <v>10</v>
      </c>
      <c r="N125" s="59" t="s">
        <v>196</v>
      </c>
      <c r="O125" s="59"/>
      <c r="P125" s="59"/>
      <c r="Q125" s="7" t="s">
        <v>10</v>
      </c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1" customFormat="1" ht="7.5" customHeight="1">
      <c r="A126" s="7" t="s">
        <v>10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s="1" customFormat="1" ht="13.5" customHeight="1">
      <c r="A127" s="7" t="s">
        <v>197</v>
      </c>
      <c r="B127" s="7"/>
      <c r="C127" s="7"/>
      <c r="D127" s="7"/>
      <c r="E127" s="7"/>
      <c r="F127" s="57" t="s">
        <v>10</v>
      </c>
      <c r="G127" s="57"/>
      <c r="H127" s="57"/>
      <c r="I127" s="57"/>
      <c r="J127" s="57"/>
      <c r="K127" s="57"/>
      <c r="L127" s="57"/>
      <c r="M127" s="57" t="s">
        <v>198</v>
      </c>
      <c r="N127" s="57"/>
      <c r="O127" s="57"/>
      <c r="P127" s="57"/>
      <c r="Q127" s="57"/>
      <c r="R127" s="7" t="s">
        <v>10</v>
      </c>
      <c r="S127" s="7"/>
      <c r="T127" s="7"/>
      <c r="U127" s="7"/>
      <c r="V127" s="7"/>
      <c r="W127" s="7"/>
      <c r="X127" s="7"/>
      <c r="Y127" s="7"/>
      <c r="Z127" s="7"/>
    </row>
    <row r="128" spans="1:26" s="1" customFormat="1" ht="13.5" customHeight="1">
      <c r="A128" s="7" t="s">
        <v>10</v>
      </c>
      <c r="B128" s="7"/>
      <c r="C128" s="7"/>
      <c r="D128" s="7"/>
      <c r="E128" s="7"/>
      <c r="F128" s="10" t="s">
        <v>10</v>
      </c>
      <c r="G128" s="59" t="s">
        <v>195</v>
      </c>
      <c r="H128" s="59"/>
      <c r="I128" s="59"/>
      <c r="J128" s="59"/>
      <c r="K128" s="7" t="s">
        <v>10</v>
      </c>
      <c r="L128" s="7"/>
      <c r="M128" s="10" t="s">
        <v>10</v>
      </c>
      <c r="N128" s="59" t="s">
        <v>196</v>
      </c>
      <c r="O128" s="59"/>
      <c r="P128" s="59"/>
      <c r="Q128" s="7" t="s">
        <v>10</v>
      </c>
      <c r="R128" s="7"/>
      <c r="S128" s="7"/>
      <c r="T128" s="7"/>
      <c r="U128" s="7"/>
      <c r="V128" s="7"/>
      <c r="W128" s="7"/>
      <c r="X128" s="7"/>
      <c r="Y128" s="7"/>
      <c r="Z128" s="7"/>
    </row>
    <row r="129" spans="1:26" s="1" customFormat="1" ht="15.7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s="1" customFormat="1" ht="13.5" customHeight="1">
      <c r="A130" s="60" t="s">
        <v>199</v>
      </c>
      <c r="B130" s="60"/>
      <c r="C130" s="60"/>
      <c r="D130" s="60"/>
      <c r="E130" s="60"/>
      <c r="F130" s="60"/>
      <c r="G130" s="60"/>
      <c r="H130" s="7" t="s">
        <v>10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s="1" customFormat="1" ht="13.5" customHeight="1">
      <c r="A131" s="4" t="s">
        <v>200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</sheetData>
  <mergeCells count="768">
    <mergeCell ref="A131:Z131"/>
    <mergeCell ref="Q128:Z128"/>
    <mergeCell ref="A129:Z129"/>
    <mergeCell ref="A130:G130"/>
    <mergeCell ref="H130:Z130"/>
    <mergeCell ref="A128:E128"/>
    <mergeCell ref="G128:J128"/>
    <mergeCell ref="K128:L128"/>
    <mergeCell ref="N128:P128"/>
    <mergeCell ref="Q125:Z125"/>
    <mergeCell ref="A126:Z126"/>
    <mergeCell ref="A127:E127"/>
    <mergeCell ref="F127:L127"/>
    <mergeCell ref="M127:Q127"/>
    <mergeCell ref="R127:Z127"/>
    <mergeCell ref="A125:E125"/>
    <mergeCell ref="G125:J125"/>
    <mergeCell ref="K125:L125"/>
    <mergeCell ref="N125:P125"/>
    <mergeCell ref="A123:Z123"/>
    <mergeCell ref="A124:E124"/>
    <mergeCell ref="F124:L124"/>
    <mergeCell ref="M124:Q124"/>
    <mergeCell ref="R124:Z124"/>
    <mergeCell ref="S121:W121"/>
    <mergeCell ref="X121:Z121"/>
    <mergeCell ref="A122:I122"/>
    <mergeCell ref="J122:L122"/>
    <mergeCell ref="M122:O122"/>
    <mergeCell ref="P122:R122"/>
    <mergeCell ref="S122:W122"/>
    <mergeCell ref="X122:Z122"/>
    <mergeCell ref="A121:I121"/>
    <mergeCell ref="J121:L121"/>
    <mergeCell ref="M121:O121"/>
    <mergeCell ref="P121:R121"/>
    <mergeCell ref="S119:W119"/>
    <mergeCell ref="X119:Z119"/>
    <mergeCell ref="A120:I120"/>
    <mergeCell ref="J120:L120"/>
    <mergeCell ref="M120:O120"/>
    <mergeCell ref="P120:R120"/>
    <mergeCell ref="S120:W120"/>
    <mergeCell ref="X120:Z120"/>
    <mergeCell ref="A119:I119"/>
    <mergeCell ref="J119:L119"/>
    <mergeCell ref="M119:O119"/>
    <mergeCell ref="P119:R119"/>
    <mergeCell ref="S117:W117"/>
    <mergeCell ref="X117:Z117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5:W115"/>
    <mergeCell ref="X115:Z115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3:W113"/>
    <mergeCell ref="X113:Z113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A111:Z111"/>
    <mergeCell ref="A112:I112"/>
    <mergeCell ref="J112:L112"/>
    <mergeCell ref="M112:O112"/>
    <mergeCell ref="P112:R112"/>
    <mergeCell ref="S112:W112"/>
    <mergeCell ref="X112:Z112"/>
    <mergeCell ref="Q109:S109"/>
    <mergeCell ref="T109:X109"/>
    <mergeCell ref="Y109:Z109"/>
    <mergeCell ref="A110:Z110"/>
    <mergeCell ref="A109:H109"/>
    <mergeCell ref="I109:K109"/>
    <mergeCell ref="L109:N109"/>
    <mergeCell ref="O109:P109"/>
    <mergeCell ref="Q107:S107"/>
    <mergeCell ref="T107:X107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5:S105"/>
    <mergeCell ref="T105:X105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3:S103"/>
    <mergeCell ref="T103:X103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1:S101"/>
    <mergeCell ref="T101:X101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A38:Z38"/>
    <mergeCell ref="A39:Z39"/>
    <mergeCell ref="A40:H40"/>
    <mergeCell ref="I40:K40"/>
    <mergeCell ref="L40:N40"/>
    <mergeCell ref="O40:P40"/>
    <mergeCell ref="Q40:S40"/>
    <mergeCell ref="T40:X40"/>
    <mergeCell ref="Y40:Z40"/>
    <mergeCell ref="S36:W36"/>
    <mergeCell ref="X36:Z36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&amp;P из &amp;N</oddFooter>
  </headerFooter>
  <rowBreaks count="2" manualBreakCount="2">
    <brk id="38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2017-10-19T08:37:33Z</dcterms:created>
  <dcterms:modified xsi:type="dcterms:W3CDTF">2017-10-19T08:37:33Z</dcterms:modified>
  <cp:category/>
  <cp:version/>
  <cp:contentType/>
  <cp:contentStatus/>
</cp:coreProperties>
</file>